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 filterPrivacy="1" codeName="ThisWorkbook"/>
  <xr:revisionPtr revIDLastSave="0" documentId="13_ncr:1_{6EDE6242-A13C-4C08-B901-F637DCE06C86}" xr6:coauthVersionLast="47" xr6:coauthVersionMax="47" xr10:uidLastSave="{00000000-0000-0000-0000-000000000000}"/>
  <bookViews>
    <workbookView xWindow="1130" yWindow="2570" windowWidth="22450" windowHeight="13650" firstSheet="14" activeTab="20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I33" i="6" l="1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N22" i="6"/>
  <c r="BP109" i="6"/>
  <c r="BQ109" i="6" s="1"/>
  <c r="BQ79" i="6"/>
  <c r="BQ80" i="6"/>
  <c r="BQ78" i="6"/>
  <c r="BQ77" i="6"/>
  <c r="BQ68" i="6"/>
  <c r="BQ70" i="6"/>
  <c r="BQ69" i="6"/>
  <c r="BQ63" i="6"/>
  <c r="BR20" i="6"/>
  <c r="BS20" i="6" s="1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S16" i="6"/>
  <c r="CY16" i="6" s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T15" i="6"/>
  <c r="BS15" i="6"/>
  <c r="BR27" i="6"/>
  <c r="BR26" i="6"/>
  <c r="BS26" i="6" s="1"/>
  <c r="BR25" i="6"/>
  <c r="BS23" i="6"/>
  <c r="BT23" i="6"/>
  <c r="BS21" i="6"/>
  <c r="BT21" i="6"/>
  <c r="BS17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R15" i="6"/>
  <c r="BV15" i="6" s="1"/>
  <c r="BU15" i="6"/>
  <c r="BR16" i="6"/>
  <c r="BV16" i="6" s="1"/>
  <c r="BU16" i="6"/>
  <c r="BR23" i="6"/>
  <c r="BV23" i="6" s="1"/>
  <c r="BU23" i="6"/>
  <c r="BR21" i="6"/>
  <c r="BV20" i="6"/>
  <c r="CX20" i="6"/>
  <c r="BR17" i="6"/>
  <c r="BV17" i="6" s="1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BC75" i="6" l="1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CY17" i="6"/>
  <c r="BF107" i="6"/>
  <c r="BF110" i="6" s="1"/>
  <c r="CY21" i="6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R53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BU21" i="6"/>
  <c r="BM84" i="6"/>
  <c r="BS25" i="6"/>
  <c r="CX26" i="6"/>
  <c r="BP33" i="6"/>
  <c r="BP35" i="6" s="1"/>
  <c r="BL95" i="6"/>
  <c r="BL107" i="6"/>
  <c r="BJ33" i="6"/>
  <c r="BP84" i="6"/>
  <c r="BR28" i="6"/>
  <c r="BS28" i="6" s="1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R13" i="6" s="1"/>
  <c r="BV13" i="6" s="1"/>
  <c r="CY13" i="6" s="1"/>
  <c r="CZ13" i="6" s="1"/>
  <c r="BR11" i="6"/>
  <c r="CV13" i="6"/>
  <c r="CV33" i="6" s="1"/>
  <c r="CV55" i="6"/>
  <c r="BR44" i="6"/>
  <c r="CX44" i="6" s="1"/>
  <c r="BJ107" i="6"/>
  <c r="BJ110" i="6" s="1"/>
  <c r="BQ40" i="6"/>
  <c r="BI107" i="6"/>
  <c r="BI110" i="6" s="1"/>
  <c r="BR29" i="6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51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I53" i="6" s="1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G39" i="6" l="1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F34" i="6"/>
  <c r="DH29" i="6"/>
  <c r="DG33" i="6"/>
  <c r="DE34" i="6"/>
  <c r="DB44" i="6"/>
  <c r="DB45" i="6" s="1"/>
  <c r="DB46" i="6" s="1"/>
  <c r="DB47" i="6" s="1"/>
  <c r="AR29" i="6"/>
  <c r="AR33" i="6" s="1"/>
  <c r="DG35" i="6" l="1"/>
  <c r="DG41" i="6" s="1"/>
  <c r="DG51" i="6"/>
  <c r="DG34" i="6"/>
  <c r="DI29" i="6"/>
  <c r="DH33" i="6"/>
  <c r="DB48" i="6"/>
  <c r="DB67" i="6"/>
  <c r="AR57" i="6"/>
  <c r="AR35" i="6"/>
  <c r="AR51" i="6"/>
  <c r="AV51" i="6"/>
  <c r="AR58" i="6"/>
  <c r="DH35" i="6" l="1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/>
  <c r="DG48" i="6" l="1"/>
  <c r="DG67" i="6"/>
  <c r="DH44" i="6" l="1"/>
  <c r="DH45" i="6" s="1"/>
  <c r="DH46" i="6" l="1"/>
  <c r="DH47" i="6"/>
  <c r="DH48" i="6" l="1"/>
  <c r="DH67" i="6"/>
  <c r="DI44" i="6" l="1"/>
  <c r="DI45" i="6" s="1"/>
  <c r="DI46" i="6" l="1"/>
  <c r="DI47" i="6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<sst xmlns="http://schemas.openxmlformats.org/spreadsheetml/2006/main" count="870" uniqueCount="619">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</sst>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69</xdr:col>
      <xdr:colOff>56359</xdr:colOff>
      <xdr:row>0</xdr:row>
      <xdr:rowOff>0</xdr:rowOff>
    </xdr:from>
    <xdr:to>
      <xdr:col>69</xdr:col>
      <xdr:colOff>56359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9186873" y="0"/>
          <a:ext cx="0" cy="1975719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 ht="13">
      <c r="C10" s="63" t="s">
        <v>388</v>
      </c>
    </row>
    <row r="50" spans="5:5" ht="15.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 ht="1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 ht="1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 ht="1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 ht="13">
      <c r="C18" s="63" t="s">
        <v>341</v>
      </c>
    </row>
    <row r="19" spans="3:3">
      <c r="C19" s="60" t="s">
        <v>430</v>
      </c>
    </row>
    <row r="21" spans="3:3" ht="13">
      <c r="C21" s="63" t="s">
        <v>375</v>
      </c>
    </row>
    <row r="22" spans="3:3">
      <c r="C22" s="60" t="s">
        <v>376</v>
      </c>
    </row>
    <row r="24" spans="3:3" ht="1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36328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 ht="1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 ht="13">
      <c r="C7" s="63" t="s">
        <v>296</v>
      </c>
    </row>
    <row r="8" spans="1:3">
      <c r="C8" s="60" t="s">
        <v>295</v>
      </c>
    </row>
    <row r="11" spans="1:3" ht="13">
      <c r="C11" s="63" t="s">
        <v>298</v>
      </c>
    </row>
    <row r="12" spans="1:3">
      <c r="C12" s="60" t="s">
        <v>297</v>
      </c>
    </row>
    <row r="15" spans="1:3" ht="1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 ht="1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 ht="1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 ht="13">
      <c r="C12" s="63" t="s">
        <v>354</v>
      </c>
    </row>
    <row r="13" spans="1:3">
      <c r="C13" s="60" t="s">
        <v>355</v>
      </c>
    </row>
    <row r="15" spans="1:3" ht="1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topLeftCell="A19" zoomScale="160" zoomScaleNormal="160" workbookViewId="0">
      <selection activeCell="B36" sqref="B36"/>
    </sheetView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585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2609685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2591504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 ht="13">
      <c r="E80" s="14" t="s">
        <v>612</v>
      </c>
    </row>
    <row r="81" spans="5:5" ht="13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 ht="13">
      <c r="C8" s="63" t="s">
        <v>291</v>
      </c>
    </row>
    <row r="12" spans="1:3" ht="1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tabSelected="1" topLeftCell="A42" zoomScale="150" zoomScaleNormal="150" workbookViewId="0">
      <selection activeCell="C64" sqref="C64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 ht="13">
      <c r="C7" s="63" t="s">
        <v>287</v>
      </c>
    </row>
    <row r="8" spans="1:3">
      <c r="C8" s="60" t="s">
        <v>288</v>
      </c>
    </row>
    <row r="10" spans="1:3" ht="13">
      <c r="C10" s="63" t="s">
        <v>325</v>
      </c>
    </row>
    <row r="11" spans="1:3" ht="13">
      <c r="C11" s="63"/>
    </row>
    <row r="12" spans="1:3" ht="13">
      <c r="C12" s="63" t="s">
        <v>370</v>
      </c>
    </row>
    <row r="13" spans="1:3">
      <c r="C13" s="60" t="s">
        <v>369</v>
      </c>
    </row>
    <row r="14" spans="1:3" ht="13">
      <c r="C14" s="63"/>
    </row>
    <row r="15" spans="1:3" ht="13">
      <c r="C15" s="63" t="s">
        <v>371</v>
      </c>
    </row>
    <row r="16" spans="1:3">
      <c r="C16" s="60" t="s">
        <v>369</v>
      </c>
    </row>
    <row r="18" spans="3:3" ht="13">
      <c r="C18" s="63" t="s">
        <v>342</v>
      </c>
    </row>
    <row r="19" spans="3:3" ht="13">
      <c r="C19" s="63"/>
    </row>
    <row r="20" spans="3:3" ht="13">
      <c r="C20" s="63" t="s">
        <v>349</v>
      </c>
    </row>
    <row r="21" spans="3:3">
      <c r="C21" s="60" t="s">
        <v>350</v>
      </c>
    </row>
    <row r="49" spans="3:3" ht="1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 ht="13">
      <c r="C53" s="63" t="s">
        <v>384</v>
      </c>
    </row>
    <row r="54" spans="3:3">
      <c r="C54" s="60" t="s">
        <v>386</v>
      </c>
    </row>
    <row r="57" spans="3:3" ht="1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 ht="1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 ht="13">
      <c r="B8" s="60"/>
      <c r="C8" s="63" t="s">
        <v>461</v>
      </c>
    </row>
    <row r="11" spans="1:3" ht="1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 ht="1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zoomScale="175" zoomScaleNormal="175" workbookViewId="0">
      <pane xSplit="2" ySplit="2" topLeftCell="CV35" activePane="bottomRight" state="frozen"/>
      <selection pane="topRight" activeCell="C1" sqref="C1"/>
      <selection pane="bottomLeft" activeCell="A3" sqref="A3"/>
      <selection pane="bottomRight" activeCell="DM55" sqref="DM55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4" width="8.1796875" style="6" customWidth="1"/>
    <col min="75" max="82" width="7.1796875" style="6" bestFit="1" customWidth="1"/>
    <col min="83" max="83" width="7.7265625" style="6" customWidth="1"/>
    <col min="84" max="85" width="7.453125" style="6" bestFit="1" customWidth="1"/>
    <col min="86" max="93" width="7.7265625" style="6" customWidth="1"/>
    <col min="94" max="106" width="7.7265625" style="7" customWidth="1"/>
    <col min="107" max="113" width="8.6328125" style="7" customWidth="1"/>
    <col min="114" max="16384" width="9.1796875" style="7"/>
  </cols>
  <sheetData>
    <row r="1" spans="1:145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3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/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10979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3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/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1526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3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/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4339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3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/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3583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3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/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3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/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7170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3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/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3529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3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/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3229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3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Q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ref="BR11" si="10">+BN11*1.01</f>
        <v>10090.91</v>
      </c>
      <c r="BS11" s="43">
        <f t="shared" ref="BS11" si="11">+BO11*1.01</f>
        <v>12746.2</v>
      </c>
      <c r="BT11" s="43">
        <f t="shared" ref="BT11" si="12">+BP11*1.01</f>
        <v>11151.41</v>
      </c>
      <c r="BU11" s="43">
        <f t="shared" ref="BU11" si="13">+BQ11*1.01</f>
        <v>10810.03</v>
      </c>
      <c r="BV11" s="43">
        <f t="shared" ref="BV11" si="14">+BR11*1.01</f>
        <v>10191.819100000001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5">SUM(G11:J11)</f>
        <v>21471</v>
      </c>
      <c r="CJ11" s="43">
        <f t="shared" ref="CJ11:CJ12" si="16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7">SUM(CU3:CU10)</f>
        <v>46954</v>
      </c>
      <c r="CV11" s="45">
        <f t="shared" si="17"/>
        <v>44766</v>
      </c>
      <c r="CW11" s="45">
        <f t="shared" si="17"/>
        <v>40428</v>
      </c>
      <c r="CX11" s="45">
        <f>SUM(BO11:BR11)</f>
        <v>44454.91</v>
      </c>
      <c r="CY11" s="45">
        <f t="shared" si="2"/>
        <v>44899.4591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3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/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8">SUM(C12:F12)</f>
        <v>11804</v>
      </c>
      <c r="CI12" s="43">
        <f t="shared" si="15"/>
        <v>11315</v>
      </c>
      <c r="CJ12" s="43">
        <f t="shared" si="16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9">SUM(AY12:BB12)</f>
        <v>8873</v>
      </c>
      <c r="CU12" s="45">
        <f t="shared" ref="CU12" si="20">SUM(BC12:BF12)</f>
        <v>9052</v>
      </c>
      <c r="CV12" s="45">
        <f t="shared" ref="CV12" si="21">SUM(BG12:BJ12)</f>
        <v>8186</v>
      </c>
      <c r="CW12" s="45">
        <f t="shared" ref="CW12" si="22">SUM(BK12:BN12)</f>
        <v>7594</v>
      </c>
      <c r="CX12" s="45">
        <f>SUM(BO12:BR12)</f>
        <v>5122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3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3">+AQ12+AQ11</f>
        <v>14659</v>
      </c>
      <c r="AR13" s="43">
        <f>+AR12+AR11</f>
        <v>15215</v>
      </c>
      <c r="AS13" s="43">
        <f t="shared" ref="AS13:AU13" si="24">+AS12+AS11</f>
        <v>14680</v>
      </c>
      <c r="AT13" s="43">
        <f t="shared" si="24"/>
        <v>15102</v>
      </c>
      <c r="AU13" s="43">
        <f t="shared" si="24"/>
        <v>15393</v>
      </c>
      <c r="AV13" s="43">
        <f t="shared" ref="AV13:BE13" si="25">+AV12+AV11</f>
        <v>14909</v>
      </c>
      <c r="AW13" s="43">
        <f t="shared" si="25"/>
        <v>14484</v>
      </c>
      <c r="AX13" s="43">
        <f t="shared" si="25"/>
        <v>14907</v>
      </c>
      <c r="AY13" s="43">
        <f t="shared" si="25"/>
        <v>15914</v>
      </c>
      <c r="AZ13" s="43">
        <f t="shared" si="25"/>
        <v>13606</v>
      </c>
      <c r="BA13" s="43">
        <f t="shared" si="25"/>
        <v>13403</v>
      </c>
      <c r="BB13" s="43">
        <f t="shared" si="25"/>
        <v>13627</v>
      </c>
      <c r="BC13" s="43">
        <f t="shared" si="25"/>
        <v>14866</v>
      </c>
      <c r="BD13" s="43">
        <f t="shared" si="25"/>
        <v>13157</v>
      </c>
      <c r="BE13" s="43">
        <f t="shared" si="25"/>
        <v>14010</v>
      </c>
      <c r="BF13" s="43">
        <f t="shared" ref="BF13:BK13" si="26">+BF12+BF11</f>
        <v>13973</v>
      </c>
      <c r="BG13" s="43">
        <f t="shared" si="26"/>
        <v>14962</v>
      </c>
      <c r="BH13" s="43">
        <f t="shared" si="26"/>
        <v>12343</v>
      </c>
      <c r="BI13" s="43">
        <f t="shared" si="26"/>
        <v>12961</v>
      </c>
      <c r="BJ13" s="43">
        <f t="shared" si="26"/>
        <v>12686</v>
      </c>
      <c r="BK13" s="43">
        <f t="shared" si="26"/>
        <v>13409</v>
      </c>
      <c r="BL13" s="43">
        <f t="shared" ref="BL13:BN13" si="27">+BL12+BL11</f>
        <v>11288</v>
      </c>
      <c r="BM13" s="43">
        <f t="shared" si="27"/>
        <v>11345</v>
      </c>
      <c r="BN13" s="43">
        <f t="shared" si="27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 t="shared" ref="BR13:BV13" si="28">+BN13*1.01</f>
        <v>12099.8</v>
      </c>
      <c r="BS13" s="43">
        <f t="shared" si="28"/>
        <v>14508.65</v>
      </c>
      <c r="BT13" s="43">
        <f t="shared" si="28"/>
        <v>12738.12</v>
      </c>
      <c r="BU13" s="43">
        <f t="shared" si="28"/>
        <v>12634.09</v>
      </c>
      <c r="BV13" s="43">
        <f t="shared" si="28"/>
        <v>12220.797999999999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49576.91</v>
      </c>
      <c r="CY13" s="45">
        <f t="shared" si="2"/>
        <v>52101.657999999996</v>
      </c>
      <c r="CZ13" s="45">
        <f>+CY13*0.95</f>
        <v>49496.575099999995</v>
      </c>
      <c r="DA13" s="45">
        <f t="shared" ref="DA13:DI13" si="29">+CZ13*0.95</f>
        <v>47021.746344999992</v>
      </c>
      <c r="DB13" s="45">
        <f t="shared" si="29"/>
        <v>44670.659027749993</v>
      </c>
      <c r="DC13" s="45">
        <f t="shared" si="29"/>
        <v>42437.126076362489</v>
      </c>
      <c r="DD13" s="45">
        <f t="shared" si="29"/>
        <v>40315.269772544365</v>
      </c>
      <c r="DE13" s="45">
        <f t="shared" si="29"/>
        <v>38299.506283917144</v>
      </c>
      <c r="DF13" s="45">
        <f t="shared" si="29"/>
        <v>36384.530969721287</v>
      </c>
      <c r="DG13" s="45">
        <f t="shared" si="29"/>
        <v>34565.304421235218</v>
      </c>
      <c r="DH13" s="45">
        <f t="shared" si="29"/>
        <v>32837.039200173458</v>
      </c>
      <c r="DI13" s="45">
        <f t="shared" si="29"/>
        <v>31195.187240164785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3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3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f>+BN15*0.5</f>
        <v>893</v>
      </c>
      <c r="BS15" s="43">
        <f t="shared" ref="BS15:BV15" si="30">+BO15*0.5</f>
        <v>1079.5</v>
      </c>
      <c r="BT15" s="43">
        <f t="shared" si="30"/>
        <v>1121</v>
      </c>
      <c r="BU15" s="43">
        <f t="shared" si="30"/>
        <v>-161</v>
      </c>
      <c r="BV15" s="43">
        <f t="shared" si="30"/>
        <v>446.5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1">SUM(AY15:BB15)</f>
        <v>18747</v>
      </c>
      <c r="CU15" s="45">
        <f t="shared" ref="CU15:CU21" si="32">SUM(BC15:BF15)</f>
        <v>15054</v>
      </c>
      <c r="CV15" s="45">
        <f t="shared" ref="CV15:CV21" si="33">SUM(BG15:BJ15)</f>
        <v>12322</v>
      </c>
      <c r="CW15" s="45">
        <f t="shared" ref="CW15:CW21" si="34">SUM(BK15:BN15)</f>
        <v>8664</v>
      </c>
      <c r="CX15" s="45">
        <f t="shared" ref="CX15:CX31" si="35">SUM(BO15:BR15)</f>
        <v>4972</v>
      </c>
      <c r="CY15" s="45">
        <f t="shared" si="2"/>
        <v>2486</v>
      </c>
      <c r="CZ15" s="45">
        <f>+CY15*0.8</f>
        <v>1988.8000000000002</v>
      </c>
      <c r="DA15" s="45">
        <f t="shared" ref="DA15:DI15" si="36">+CZ15*0.8</f>
        <v>1591.0400000000002</v>
      </c>
      <c r="DB15" s="45">
        <f t="shared" si="36"/>
        <v>1272.8320000000003</v>
      </c>
      <c r="DC15" s="45">
        <f t="shared" si="36"/>
        <v>1018.2656000000003</v>
      </c>
      <c r="DD15" s="45">
        <f t="shared" si="36"/>
        <v>814.61248000000023</v>
      </c>
      <c r="DE15" s="45">
        <f t="shared" si="36"/>
        <v>651.68998400000021</v>
      </c>
      <c r="DF15" s="45">
        <f t="shared" si="36"/>
        <v>521.35198720000017</v>
      </c>
      <c r="DG15" s="45">
        <f t="shared" si="36"/>
        <v>417.08158976000016</v>
      </c>
      <c r="DH15" s="45">
        <f t="shared" si="36"/>
        <v>333.66527180800017</v>
      </c>
      <c r="DI15" s="45">
        <f t="shared" si="36"/>
        <v>266.93221744640016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3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f>+BN16*1.2</f>
        <v>7092</v>
      </c>
      <c r="BS16" s="43">
        <f t="shared" ref="BS16:BV16" si="37">+BO16*1.2</f>
        <v>6015.5999999999995</v>
      </c>
      <c r="BT16" s="43">
        <f t="shared" si="37"/>
        <v>7101.5999999999995</v>
      </c>
      <c r="BU16" s="43">
        <f t="shared" si="37"/>
        <v>6543.5999999999995</v>
      </c>
      <c r="BV16" s="43">
        <f t="shared" si="37"/>
        <v>8510.4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1"/>
        <v>1873</v>
      </c>
      <c r="CU16" s="45">
        <f t="shared" si="32"/>
        <v>4838</v>
      </c>
      <c r="CV16" s="45">
        <f t="shared" si="33"/>
        <v>11299</v>
      </c>
      <c r="CW16" s="45">
        <f t="shared" si="34"/>
        <v>18750</v>
      </c>
      <c r="CX16" s="45">
        <f t="shared" si="35"/>
        <v>23476</v>
      </c>
      <c r="CY16" s="45">
        <f>SUM(BS16:BV16)</f>
        <v>28171.199999999997</v>
      </c>
      <c r="CZ16" s="45">
        <f>+CY16*1.3</f>
        <v>36622.559999999998</v>
      </c>
      <c r="DA16" s="45">
        <f>+CZ16*1.3</f>
        <v>47609.328000000001</v>
      </c>
      <c r="DB16" s="45">
        <f>+DA16*1.2</f>
        <v>57131.193599999999</v>
      </c>
      <c r="DC16" s="45">
        <f>+DB16*1.1</f>
        <v>62844.312960000003</v>
      </c>
      <c r="DD16" s="45">
        <f>+DC16*1.1</f>
        <v>69128.744256000005</v>
      </c>
      <c r="DE16" s="45">
        <f>+DD16*0.7</f>
        <v>48390.120979200001</v>
      </c>
      <c r="DF16" s="45">
        <f>+DE16*0.7</f>
        <v>33873.084685440001</v>
      </c>
      <c r="DG16" s="45">
        <f>+DF16*0.7</f>
        <v>23711.159279807998</v>
      </c>
      <c r="DH16" s="45">
        <f>+DG16*0.7</f>
        <v>16597.811495865597</v>
      </c>
      <c r="DI16" s="45">
        <f>+DH16*0.7</f>
        <v>11618.468047105916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3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f>+BN17*1.3</f>
        <v>39084.5</v>
      </c>
      <c r="BS17" s="43">
        <f t="shared" ref="BS17:BV17" si="38">+BO17*1.3</f>
        <v>36153</v>
      </c>
      <c r="BT17" s="43">
        <f t="shared" si="38"/>
        <v>37537.5</v>
      </c>
      <c r="BU17" s="43">
        <f t="shared" si="38"/>
        <v>38745.200000000004</v>
      </c>
      <c r="BV17" s="43">
        <f t="shared" si="38"/>
        <v>50809.85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1"/>
        <v>21211</v>
      </c>
      <c r="CU17" s="45">
        <f t="shared" si="32"/>
        <v>33705</v>
      </c>
      <c r="CV17" s="45">
        <f t="shared" si="33"/>
        <v>59750</v>
      </c>
      <c r="CW17" s="45">
        <f t="shared" si="34"/>
        <v>95718</v>
      </c>
      <c r="CX17" s="45">
        <f t="shared" si="35"/>
        <v>125573.5</v>
      </c>
      <c r="CY17" s="45">
        <f t="shared" si="2"/>
        <v>163245.55000000002</v>
      </c>
      <c r="CZ17" s="45">
        <f>+CY17*1.3</f>
        <v>212219.21500000003</v>
      </c>
      <c r="DA17" s="45">
        <f>+CZ17*1.25</f>
        <v>265274.01875000005</v>
      </c>
      <c r="DB17" s="45">
        <f>+DA17*1.15</f>
        <v>305065.12156250002</v>
      </c>
      <c r="DC17" s="45">
        <f>+DB17*1.1</f>
        <v>335571.63371875003</v>
      </c>
      <c r="DD17" s="45">
        <f>+DC17*1.1</f>
        <v>369128.79709062504</v>
      </c>
      <c r="DE17" s="45">
        <f>+DD17*0.7</f>
        <v>258390.15796343752</v>
      </c>
      <c r="DF17" s="45">
        <f>+DE17*0.7</f>
        <v>180873.11057440625</v>
      </c>
      <c r="DG17" s="45">
        <f>+DF17*0.7</f>
        <v>126611.17740208437</v>
      </c>
      <c r="DH17" s="45">
        <f>+DG17*0.7</f>
        <v>88627.824181459058</v>
      </c>
      <c r="DI17" s="45">
        <f>+DH17*0.7</f>
        <v>62039.476927021336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3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3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8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3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f>BQ20+1500</f>
        <v>18804</v>
      </c>
      <c r="BS20" s="43">
        <f>BR20+1500</f>
        <v>20304</v>
      </c>
      <c r="BT20" s="43">
        <f>BS20+500</f>
        <v>20804</v>
      </c>
      <c r="BU20" s="43">
        <f t="shared" ref="BU20:BV20" si="40">+BQ20*1.3</f>
        <v>22495.200000000001</v>
      </c>
      <c r="BV20" s="43">
        <f t="shared" si="40"/>
        <v>24445.200000000001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1"/>
        <v>0</v>
      </c>
      <c r="CU20" s="45">
        <f t="shared" si="32"/>
        <v>0</v>
      </c>
      <c r="CV20" s="45">
        <f t="shared" si="33"/>
        <v>6188</v>
      </c>
      <c r="CW20" s="45">
        <f t="shared" si="34"/>
        <v>31343</v>
      </c>
      <c r="CX20" s="45">
        <f t="shared" si="35"/>
        <v>57144</v>
      </c>
      <c r="CY20" s="45">
        <f>SUM(BS20:BV20)</f>
        <v>88048.4</v>
      </c>
      <c r="CZ20" s="45">
        <f>+CY20*1.3</f>
        <v>114462.92</v>
      </c>
      <c r="DA20" s="45">
        <f>+CZ20*1.3</f>
        <v>148801.796</v>
      </c>
      <c r="DB20" s="45">
        <f>+DA20*1.25</f>
        <v>186002.245</v>
      </c>
      <c r="DC20" s="45">
        <f>+DB20*1.2</f>
        <v>223202.69399999999</v>
      </c>
      <c r="DD20" s="45">
        <f>+DC20*1.1</f>
        <v>245522.96340000001</v>
      </c>
      <c r="DE20" s="45">
        <f>+DD20*0.7</f>
        <v>171866.07438000001</v>
      </c>
      <c r="DF20" s="45">
        <f>+DE20*0.7</f>
        <v>120306.252066</v>
      </c>
      <c r="DG20" s="45">
        <f>+DF20*0.7</f>
        <v>84214.376446199996</v>
      </c>
      <c r="DH20" s="45">
        <f>+DG20*0.7</f>
        <v>58950.063512339992</v>
      </c>
      <c r="DI20" s="45">
        <f>+DH20*0.7</f>
        <v>41265.044458637989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3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f>+BN21*0.5</f>
        <v>807.5</v>
      </c>
      <c r="BS21" s="43">
        <f t="shared" ref="BS21:BV21" si="41">+BO21*0.5</f>
        <v>829</v>
      </c>
      <c r="BT21" s="43">
        <f t="shared" si="41"/>
        <v>1122.5</v>
      </c>
      <c r="BU21" s="43">
        <f t="shared" si="41"/>
        <v>748.5</v>
      </c>
      <c r="BV21" s="43">
        <f t="shared" si="41"/>
        <v>403.75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1"/>
        <v>5608</v>
      </c>
      <c r="CU21" s="45">
        <f t="shared" si="32"/>
        <v>8400</v>
      </c>
      <c r="CV21" s="45">
        <f t="shared" si="33"/>
        <v>10676</v>
      </c>
      <c r="CW21" s="45">
        <f t="shared" si="34"/>
        <v>10289</v>
      </c>
      <c r="CX21" s="45">
        <f t="shared" si="35"/>
        <v>6207.5</v>
      </c>
      <c r="CY21" s="45">
        <f t="shared" si="2"/>
        <v>3103.75</v>
      </c>
      <c r="CZ21" s="45">
        <f>+CY21*0.8</f>
        <v>2483</v>
      </c>
      <c r="DA21" s="45">
        <f t="shared" ref="DA21:DI21" si="42">+CZ21*0.8</f>
        <v>1986.4</v>
      </c>
      <c r="DB21" s="45">
        <f t="shared" si="42"/>
        <v>1589.1200000000001</v>
      </c>
      <c r="DC21" s="45">
        <f t="shared" si="42"/>
        <v>1271.2960000000003</v>
      </c>
      <c r="DD21" s="45">
        <f t="shared" si="42"/>
        <v>1017.0368000000003</v>
      </c>
      <c r="DE21" s="45">
        <f t="shared" si="42"/>
        <v>813.62944000000027</v>
      </c>
      <c r="DF21" s="45">
        <f t="shared" si="42"/>
        <v>650.90355200000022</v>
      </c>
      <c r="DG21" s="45">
        <f t="shared" si="42"/>
        <v>520.72284160000015</v>
      </c>
      <c r="DH21" s="45">
        <f t="shared" si="42"/>
        <v>416.57827328000013</v>
      </c>
      <c r="DI21" s="45">
        <f t="shared" si="42"/>
        <v>333.26261862400014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3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>
        <f>SUM(BN15:BQ21)/DKK</f>
        <v>27825.202402352184</v>
      </c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5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3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f>+BN23</f>
        <v>322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322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8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5"/>
        <v>1930</v>
      </c>
      <c r="CY23" s="45">
        <f t="shared" si="2"/>
        <v>1930</v>
      </c>
      <c r="CZ23" s="45">
        <f>+CY23*0.95</f>
        <v>1833.5</v>
      </c>
      <c r="DA23" s="45">
        <f t="shared" ref="DA23:DI23" si="48">+CZ23*0.95</f>
        <v>1741.8249999999998</v>
      </c>
      <c r="DB23" s="45">
        <f t="shared" si="48"/>
        <v>1654.7337499999996</v>
      </c>
      <c r="DC23" s="45">
        <f t="shared" si="48"/>
        <v>1571.9970624999996</v>
      </c>
      <c r="DD23" s="45">
        <f t="shared" si="48"/>
        <v>1493.3972093749996</v>
      </c>
      <c r="DE23" s="45">
        <f t="shared" si="48"/>
        <v>1418.7273489062495</v>
      </c>
      <c r="DF23" s="45">
        <f t="shared" si="48"/>
        <v>1347.790981460937</v>
      </c>
      <c r="DG23" s="45">
        <f t="shared" si="48"/>
        <v>1280.4014323878901</v>
      </c>
      <c r="DH23" s="45">
        <f t="shared" si="48"/>
        <v>1216.3813607684956</v>
      </c>
      <c r="DI23" s="45">
        <f t="shared" si="48"/>
        <v>1155.5622927300708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3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5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3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8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5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3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f t="shared" ref="BR26:BV26" si="55">+BQ26</f>
        <v>568</v>
      </c>
      <c r="BS26" s="43">
        <f t="shared" si="55"/>
        <v>568</v>
      </c>
      <c r="BT26" s="43">
        <f t="shared" si="55"/>
        <v>568</v>
      </c>
      <c r="BU26" s="43">
        <f t="shared" si="55"/>
        <v>568</v>
      </c>
      <c r="BV26" s="43">
        <f t="shared" si="55"/>
        <v>568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5"/>
        <v>2352</v>
      </c>
      <c r="CY26" s="45">
        <f t="shared" si="2"/>
        <v>2272</v>
      </c>
      <c r="CZ26" s="45">
        <f>+CY26*0.95</f>
        <v>2158.4</v>
      </c>
      <c r="DA26" s="45">
        <f t="shared" si="54"/>
        <v>2050.48</v>
      </c>
      <c r="DB26" s="45">
        <f t="shared" si="54"/>
        <v>1947.9559999999999</v>
      </c>
      <c r="DC26" s="45">
        <f t="shared" si="54"/>
        <v>1850.5581999999997</v>
      </c>
      <c r="DD26" s="45">
        <f t="shared" si="54"/>
        <v>1758.0302899999997</v>
      </c>
      <c r="DE26" s="45">
        <f t="shared" si="54"/>
        <v>1670.1287754999996</v>
      </c>
      <c r="DF26" s="45">
        <f t="shared" si="54"/>
        <v>1586.6223367249995</v>
      </c>
      <c r="DG26" s="45">
        <f t="shared" si="54"/>
        <v>1507.2912198887495</v>
      </c>
      <c r="DH26" s="45">
        <f t="shared" si="54"/>
        <v>1431.9266588943119</v>
      </c>
      <c r="DI26" s="45">
        <f t="shared" si="54"/>
        <v>1360.3303259495963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3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f t="shared" ref="BR27:BV29" si="56">+BQ27</f>
        <v>305</v>
      </c>
      <c r="BS27" s="43">
        <f t="shared" si="56"/>
        <v>305</v>
      </c>
      <c r="BT27" s="43">
        <f t="shared" si="56"/>
        <v>305</v>
      </c>
      <c r="BU27" s="43">
        <f t="shared" si="56"/>
        <v>305</v>
      </c>
      <c r="BV27" s="43">
        <f t="shared" si="56"/>
        <v>305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5"/>
        <v>1233</v>
      </c>
      <c r="CY27" s="45">
        <f t="shared" si="2"/>
        <v>1220</v>
      </c>
      <c r="CZ27" s="45">
        <f>+CY27*0.95</f>
        <v>1159</v>
      </c>
      <c r="DA27" s="45">
        <f t="shared" si="54"/>
        <v>1101.05</v>
      </c>
      <c r="DB27" s="45">
        <f t="shared" si="54"/>
        <v>1045.9974999999999</v>
      </c>
      <c r="DC27" s="45">
        <f t="shared" si="54"/>
        <v>993.6976249999999</v>
      </c>
      <c r="DD27" s="45">
        <f t="shared" si="54"/>
        <v>944.01274374999991</v>
      </c>
      <c r="DE27" s="45">
        <f t="shared" si="54"/>
        <v>896.81210656249982</v>
      </c>
      <c r="DF27" s="45">
        <f t="shared" si="54"/>
        <v>851.97150123437484</v>
      </c>
      <c r="DG27" s="45">
        <f t="shared" si="54"/>
        <v>809.37292617265609</v>
      </c>
      <c r="DH27" s="45">
        <f t="shared" si="54"/>
        <v>768.90427986402324</v>
      </c>
      <c r="DI27" s="45">
        <f t="shared" si="54"/>
        <v>730.45906587082209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3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 t="shared" si="56"/>
        <v>112</v>
      </c>
      <c r="BS28" s="43">
        <f t="shared" si="56"/>
        <v>112</v>
      </c>
      <c r="BT28" s="43">
        <f t="shared" si="56"/>
        <v>112</v>
      </c>
      <c r="BU28" s="43">
        <f t="shared" si="56"/>
        <v>112</v>
      </c>
      <c r="BV28" s="43">
        <f t="shared" si="56"/>
        <v>112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5"/>
        <v>383</v>
      </c>
      <c r="CY28" s="45">
        <f t="shared" si="2"/>
        <v>448</v>
      </c>
      <c r="CZ28" s="45">
        <f>+CY28*0.95</f>
        <v>425.59999999999997</v>
      </c>
      <c r="DA28" s="45">
        <f t="shared" si="54"/>
        <v>404.31999999999994</v>
      </c>
      <c r="DB28" s="45">
        <f t="shared" si="54"/>
        <v>384.10399999999993</v>
      </c>
      <c r="DC28" s="45">
        <f t="shared" si="54"/>
        <v>364.89879999999994</v>
      </c>
      <c r="DD28" s="45">
        <f t="shared" si="54"/>
        <v>346.65385999999995</v>
      </c>
      <c r="DE28" s="45">
        <f t="shared" si="54"/>
        <v>329.32116699999995</v>
      </c>
      <c r="DF28" s="45">
        <f t="shared" si="54"/>
        <v>312.85510864999992</v>
      </c>
      <c r="DG28" s="45">
        <f t="shared" si="54"/>
        <v>297.21235321749992</v>
      </c>
      <c r="DH28" s="45">
        <f t="shared" si="54"/>
        <v>282.35173555662493</v>
      </c>
      <c r="DI28" s="45">
        <f t="shared" si="54"/>
        <v>268.23414877879367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3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 t="shared" si="56"/>
        <v>1586</v>
      </c>
      <c r="BS29" s="43">
        <f t="shared" si="56"/>
        <v>1586</v>
      </c>
      <c r="BT29" s="43">
        <f t="shared" si="56"/>
        <v>1586</v>
      </c>
      <c r="BU29" s="43">
        <f t="shared" si="56"/>
        <v>1586</v>
      </c>
      <c r="BV29" s="43">
        <f t="shared" si="56"/>
        <v>1586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5"/>
        <v>5780</v>
      </c>
      <c r="CY29" s="45">
        <f t="shared" si="2"/>
        <v>6344</v>
      </c>
      <c r="CZ29" s="45">
        <f>+CY29*0.95</f>
        <v>6026.7999999999993</v>
      </c>
      <c r="DA29" s="45">
        <f t="shared" si="54"/>
        <v>5725.4599999999991</v>
      </c>
      <c r="DB29" s="45">
        <f t="shared" si="54"/>
        <v>5439.186999999999</v>
      </c>
      <c r="DC29" s="45">
        <f t="shared" si="54"/>
        <v>5167.2276499999989</v>
      </c>
      <c r="DD29" s="45">
        <f t="shared" si="54"/>
        <v>4908.8662674999987</v>
      </c>
      <c r="DE29" s="45">
        <f t="shared" si="54"/>
        <v>4663.4229541249988</v>
      </c>
      <c r="DF29" s="45">
        <f t="shared" si="54"/>
        <v>4430.2518064187489</v>
      </c>
      <c r="DG29" s="45">
        <f t="shared" si="54"/>
        <v>4208.7392160978115</v>
      </c>
      <c r="DH29" s="45">
        <f t="shared" si="54"/>
        <v>3998.3022552929206</v>
      </c>
      <c r="DI29" s="45">
        <f t="shared" si="54"/>
        <v>3798.3871425282746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3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8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5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3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8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5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3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8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3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93688.202402352181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83676.800000000003</v>
      </c>
      <c r="BS33" s="15">
        <f t="shared" si="61"/>
        <v>84046.75</v>
      </c>
      <c r="BT33" s="15">
        <f t="shared" si="61"/>
        <v>85531.72</v>
      </c>
      <c r="BU33" s="15">
        <f t="shared" si="61"/>
        <v>86071.59</v>
      </c>
      <c r="BV33" s="15">
        <f t="shared" si="61"/>
        <v>101732.49799999999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286387.91000000003</v>
      </c>
      <c r="CY33" s="57">
        <f>SUM(BS33:BV33)</f>
        <v>357382.55799999996</v>
      </c>
      <c r="CZ33" s="57">
        <f>SUM(CZ3:CZ32)</f>
        <v>436487.77010000002</v>
      </c>
      <c r="DA33" s="57">
        <f>SUM(DA3:DA32)</f>
        <v>530538.29409500002</v>
      </c>
      <c r="DB33" s="57">
        <f>SUM(DB3:DB32)</f>
        <v>613072.43794025015</v>
      </c>
      <c r="DC33" s="57">
        <f>SUM(DC3:DC32)</f>
        <v>702819.53176761244</v>
      </c>
      <c r="DD33" s="57">
        <f>SUM(DD3:DD32)</f>
        <v>781577.91704104433</v>
      </c>
      <c r="DE33" s="57">
        <f>SUM(DE3:DE32)</f>
        <v>613279.14761033596</v>
      </c>
      <c r="DF33" s="57">
        <f>SUM(DF3:DF32)</f>
        <v>498733.80398555979</v>
      </c>
      <c r="DG33" s="57">
        <f>SUM(DG3:DG32)</f>
        <v>429058.16362394014</v>
      </c>
      <c r="DH33" s="57">
        <f>SUM(DH3:DH32)</f>
        <v>385230.40649601608</v>
      </c>
      <c r="DI33" s="57">
        <f>SUM(DI3:DI32)</f>
        <v>351020.42484203592</v>
      </c>
    </row>
    <row r="34" spans="1:145" ht="13" customHeight="1">
      <c r="A34" s="40"/>
      <c r="B34" s="46" t="s">
        <v>133</v>
      </c>
      <c r="C34" s="43">
        <f t="shared" ref="C34:J34" si="62">C33-C35</f>
        <v>2413</v>
      </c>
      <c r="D34" s="43">
        <f t="shared" si="62"/>
        <v>2554</v>
      </c>
      <c r="E34" s="43">
        <f t="shared" si="62"/>
        <v>2606</v>
      </c>
      <c r="F34" s="43">
        <f t="shared" si="62"/>
        <v>2536</v>
      </c>
      <c r="G34" s="43">
        <f t="shared" si="62"/>
        <v>2508</v>
      </c>
      <c r="H34" s="43">
        <f t="shared" si="62"/>
        <v>2610</v>
      </c>
      <c r="I34" s="43">
        <f t="shared" si="62"/>
        <v>2713</v>
      </c>
      <c r="J34" s="43">
        <f t="shared" si="62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3">AY33-AY35</f>
        <v>5386</v>
      </c>
      <c r="AZ34" s="43">
        <f t="shared" si="63"/>
        <v>4772</v>
      </c>
      <c r="BA34" s="43">
        <f t="shared" si="63"/>
        <v>5155</v>
      </c>
      <c r="BB34" s="43">
        <f t="shared" si="63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4">+BJ33-BJ35</f>
        <v>8262</v>
      </c>
      <c r="BK34" s="43">
        <f t="shared" ref="BK34:BR34" si="65">+BK33-BK35</f>
        <v>8182</v>
      </c>
      <c r="BL34" s="43">
        <f t="shared" si="65"/>
        <v>7856</v>
      </c>
      <c r="BM34" s="43">
        <f t="shared" si="65"/>
        <v>9713</v>
      </c>
      <c r="BN34" s="43">
        <f t="shared" si="65"/>
        <v>37839.202402352181</v>
      </c>
      <c r="BO34" s="43">
        <f t="shared" si="65"/>
        <v>9916</v>
      </c>
      <c r="BP34" s="43">
        <v>10274</v>
      </c>
      <c r="BQ34" s="43">
        <f t="shared" si="65"/>
        <v>11308</v>
      </c>
      <c r="BR34" s="43">
        <f t="shared" si="65"/>
        <v>12551.520000000004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63590.202402352181</v>
      </c>
      <c r="CX34" s="45">
        <f t="shared" ref="CX34" si="66">SUM(BO34:BR34)</f>
        <v>44049.520000000004</v>
      </c>
      <c r="CY34" s="45">
        <f>+CY33-CY35</f>
        <v>53607.383700000006</v>
      </c>
      <c r="CZ34" s="45">
        <f t="shared" ref="CZ34:DD34" si="67">+CZ33-CZ35</f>
        <v>65473.165515000001</v>
      </c>
      <c r="DA34" s="45">
        <f t="shared" si="67"/>
        <v>79580.744114250003</v>
      </c>
      <c r="DB34" s="45">
        <f t="shared" si="67"/>
        <v>91960.865691037558</v>
      </c>
      <c r="DC34" s="45">
        <f t="shared" si="67"/>
        <v>105422.92976514192</v>
      </c>
      <c r="DD34" s="45">
        <f t="shared" si="67"/>
        <v>117236.68755615666</v>
      </c>
      <c r="DE34" s="45">
        <f t="shared" ref="DE34:DI34" si="68">+DE33-DE35</f>
        <v>91991.872141550411</v>
      </c>
      <c r="DF34" s="45">
        <f t="shared" si="68"/>
        <v>74810.070597833954</v>
      </c>
      <c r="DG34" s="45">
        <f t="shared" si="68"/>
        <v>64358.72454359103</v>
      </c>
      <c r="DH34" s="45">
        <f t="shared" si="68"/>
        <v>57784.560974402411</v>
      </c>
      <c r="DI34" s="45">
        <f t="shared" si="68"/>
        <v>52653.06372630538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3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71125.279999999999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168670.79759764782</v>
      </c>
      <c r="CX35" s="45">
        <f>+CX33-CX34</f>
        <v>242338.39</v>
      </c>
      <c r="CY35" s="45">
        <f>+CY33*0.85</f>
        <v>303775.17429999996</v>
      </c>
      <c r="CZ35" s="45">
        <f t="shared" ref="CZ35:DD35" si="69">+CZ33*0.85</f>
        <v>371014.60458500002</v>
      </c>
      <c r="DA35" s="45">
        <f t="shared" si="69"/>
        <v>450957.54998075002</v>
      </c>
      <c r="DB35" s="45">
        <f t="shared" si="69"/>
        <v>521111.57224921259</v>
      </c>
      <c r="DC35" s="45">
        <f t="shared" si="69"/>
        <v>597396.60200247052</v>
      </c>
      <c r="DD35" s="45">
        <f t="shared" si="69"/>
        <v>664341.22948488768</v>
      </c>
      <c r="DE35" s="45">
        <f t="shared" ref="DE35:DI35" si="70">+DE33*0.85</f>
        <v>521287.27546878555</v>
      </c>
      <c r="DF35" s="45">
        <f t="shared" si="70"/>
        <v>423923.73338772584</v>
      </c>
      <c r="DG35" s="45">
        <f t="shared" si="70"/>
        <v>364699.43908034911</v>
      </c>
      <c r="DH35" s="45">
        <f t="shared" si="70"/>
        <v>327445.84552161366</v>
      </c>
      <c r="DI35" s="45">
        <f t="shared" si="70"/>
        <v>298367.36111573054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3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1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2">SUM(BK36:BN36)</f>
        <v>56743</v>
      </c>
      <c r="CX36" s="45">
        <f t="shared" ref="CX36:CX39" si="73">SUM(BO36:BR36)</f>
        <v>62287</v>
      </c>
      <c r="CY36" s="45">
        <f>+CX36</f>
        <v>62287</v>
      </c>
      <c r="CZ36" s="45">
        <f t="shared" ref="CZ36:DD36" si="74">+CY36</f>
        <v>62287</v>
      </c>
      <c r="DA36" s="45">
        <f t="shared" si="74"/>
        <v>62287</v>
      </c>
      <c r="DB36" s="45">
        <f t="shared" si="74"/>
        <v>62287</v>
      </c>
      <c r="DC36" s="45">
        <f t="shared" si="74"/>
        <v>62287</v>
      </c>
      <c r="DD36" s="45">
        <f t="shared" si="74"/>
        <v>62287</v>
      </c>
      <c r="DE36" s="45">
        <f t="shared" ref="DE36" si="75">+DD36</f>
        <v>62287</v>
      </c>
      <c r="DF36" s="45">
        <f t="shared" ref="DF36" si="76">+DE36</f>
        <v>62287</v>
      </c>
      <c r="DG36" s="45">
        <f t="shared" ref="DG36" si="77">+DF36</f>
        <v>62287</v>
      </c>
      <c r="DH36" s="45">
        <f t="shared" ref="DH36" si="78">+DG36</f>
        <v>62287</v>
      </c>
      <c r="DI36" s="45">
        <f t="shared" ref="DI36" si="79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3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1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2"/>
        <v>32443</v>
      </c>
      <c r="CX37" s="45">
        <f t="shared" si="73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3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1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2"/>
        <v>4855</v>
      </c>
      <c r="CX38" s="45">
        <f t="shared" si="73"/>
        <v>5297.6</v>
      </c>
      <c r="CY38" s="45">
        <f>+CX38</f>
        <v>5297.6</v>
      </c>
      <c r="CZ38" s="45">
        <f t="shared" ref="CZ38:DD38" si="80">+CY38</f>
        <v>5297.6</v>
      </c>
      <c r="DA38" s="45">
        <f t="shared" si="80"/>
        <v>5297.6</v>
      </c>
      <c r="DB38" s="45">
        <f t="shared" si="80"/>
        <v>5297.6</v>
      </c>
      <c r="DC38" s="45">
        <f t="shared" si="80"/>
        <v>5297.6</v>
      </c>
      <c r="DD38" s="45">
        <f t="shared" si="80"/>
        <v>5297.6</v>
      </c>
      <c r="DE38" s="45">
        <f t="shared" ref="DE38:DE39" si="81">+DD38</f>
        <v>5297.6</v>
      </c>
      <c r="DF38" s="45">
        <f t="shared" ref="DF38:DF39" si="82">+DE38</f>
        <v>5297.6</v>
      </c>
      <c r="DG38" s="45">
        <f t="shared" ref="DG38:DG39" si="83">+DF38</f>
        <v>5297.6</v>
      </c>
      <c r="DH38" s="45">
        <f t="shared" ref="DH38:DH39" si="84">+DG38</f>
        <v>5297.6</v>
      </c>
      <c r="DI38" s="45">
        <f t="shared" ref="DI38:DI39" si="85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3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2"/>
        <v>-119</v>
      </c>
      <c r="CX39" s="45">
        <f t="shared" si="73"/>
        <v>329.25</v>
      </c>
      <c r="CY39" s="45">
        <f>+CX39</f>
        <v>329.25</v>
      </c>
      <c r="CZ39" s="45">
        <f t="shared" ref="CZ39:DD39" si="86">+CY39</f>
        <v>329.25</v>
      </c>
      <c r="DA39" s="45">
        <f t="shared" si="86"/>
        <v>329.25</v>
      </c>
      <c r="DB39" s="45">
        <f t="shared" si="86"/>
        <v>329.25</v>
      </c>
      <c r="DC39" s="45">
        <f t="shared" si="86"/>
        <v>329.25</v>
      </c>
      <c r="DD39" s="45">
        <f t="shared" si="86"/>
        <v>329.25</v>
      </c>
      <c r="DE39" s="45">
        <f t="shared" si="81"/>
        <v>329.25</v>
      </c>
      <c r="DF39" s="45">
        <f t="shared" si="82"/>
        <v>329.25</v>
      </c>
      <c r="DG39" s="45">
        <f t="shared" si="83"/>
        <v>329.25</v>
      </c>
      <c r="DH39" s="45">
        <f t="shared" si="84"/>
        <v>329.25</v>
      </c>
      <c r="DI39" s="45">
        <f t="shared" si="85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3" customHeight="1">
      <c r="A40" s="40"/>
      <c r="B40" s="46" t="s">
        <v>137</v>
      </c>
      <c r="C40" s="43">
        <f t="shared" ref="C40:K40" si="87">SUM(C36:C38)-C39</f>
        <v>5152</v>
      </c>
      <c r="D40" s="43">
        <f t="shared" si="87"/>
        <v>5555</v>
      </c>
      <c r="E40" s="43">
        <f t="shared" si="87"/>
        <v>5366</v>
      </c>
      <c r="F40" s="43">
        <f t="shared" si="87"/>
        <v>6673</v>
      </c>
      <c r="G40" s="43">
        <f t="shared" si="87"/>
        <v>6180</v>
      </c>
      <c r="H40" s="43">
        <f t="shared" si="87"/>
        <v>6301</v>
      </c>
      <c r="I40" s="43">
        <f t="shared" si="87"/>
        <v>6018</v>
      </c>
      <c r="J40" s="43">
        <f t="shared" si="87"/>
        <v>7208</v>
      </c>
      <c r="K40" s="43">
        <f t="shared" si="87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8">SUM(AQ36:AQ39)</f>
        <v>10285</v>
      </c>
      <c r="AR40" s="43">
        <f t="shared" si="88"/>
        <v>10851</v>
      </c>
      <c r="AS40" s="43">
        <f t="shared" si="88"/>
        <v>11534</v>
      </c>
      <c r="AT40" s="43">
        <f t="shared" si="88"/>
        <v>14296</v>
      </c>
      <c r="AU40" s="43">
        <f t="shared" ref="AU40:AW40" si="89">SUM(AU36:AU39)</f>
        <v>10320</v>
      </c>
      <c r="AV40" s="43">
        <f t="shared" si="89"/>
        <v>11735</v>
      </c>
      <c r="AW40" s="43">
        <f t="shared" si="89"/>
        <v>12283</v>
      </c>
      <c r="AX40" s="43">
        <f t="shared" ref="AX40:BB40" si="90">SUM(AX36:AX39)</f>
        <v>15112</v>
      </c>
      <c r="AY40" s="43">
        <f t="shared" si="90"/>
        <v>12187</v>
      </c>
      <c r="AZ40" s="43">
        <f t="shared" si="90"/>
        <v>11396</v>
      </c>
      <c r="BA40" s="43">
        <f t="shared" si="90"/>
        <v>12964</v>
      </c>
      <c r="BB40" s="43">
        <f t="shared" si="90"/>
        <v>15341</v>
      </c>
      <c r="BC40" s="43">
        <f t="shared" ref="BC40:BH40" si="91">SUM(BC36:BC39)</f>
        <v>13011</v>
      </c>
      <c r="BD40" s="43">
        <f t="shared" si="91"/>
        <v>12715</v>
      </c>
      <c r="BE40" s="43">
        <f t="shared" si="91"/>
        <v>14314</v>
      </c>
      <c r="BF40" s="43">
        <f t="shared" si="91"/>
        <v>18458</v>
      </c>
      <c r="BG40" s="43">
        <f t="shared" si="91"/>
        <v>15967</v>
      </c>
      <c r="BH40" s="43">
        <f t="shared" si="91"/>
        <v>16805</v>
      </c>
      <c r="BI40" s="43">
        <f t="shared" ref="BI40:BN40" si="92">SUM(BI36:BI39)</f>
        <v>18182</v>
      </c>
      <c r="BJ40" s="43">
        <f t="shared" si="92"/>
        <v>22743</v>
      </c>
      <c r="BK40" s="43">
        <f t="shared" si="92"/>
        <v>20178</v>
      </c>
      <c r="BL40" s="43">
        <f t="shared" si="92"/>
        <v>22556</v>
      </c>
      <c r="BM40" s="43">
        <f t="shared" si="92"/>
        <v>22105</v>
      </c>
      <c r="BN40" s="43">
        <f t="shared" si="92"/>
        <v>29083</v>
      </c>
      <c r="BO40" s="43">
        <f>SUM(BO36:BO39)</f>
        <v>23587</v>
      </c>
      <c r="BP40" s="43">
        <f t="shared" ref="BP40:BR40" si="93">SUM(BP36:BP39)</f>
        <v>31852</v>
      </c>
      <c r="BQ40" s="43">
        <f t="shared" si="93"/>
        <v>26181</v>
      </c>
      <c r="BR40" s="43">
        <f t="shared" si="93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4">SUM(CR36:CR38)</f>
        <v>48118</v>
      </c>
      <c r="CS40" s="45">
        <f>SUM(CS36:CS39)</f>
        <v>49450</v>
      </c>
      <c r="CT40" s="45">
        <f t="shared" ref="CT40:CX40" si="95">SUM(CT36:CT39)</f>
        <v>51888</v>
      </c>
      <c r="CU40" s="45">
        <f t="shared" si="95"/>
        <v>58498</v>
      </c>
      <c r="CV40" s="45">
        <f t="shared" si="95"/>
        <v>73697</v>
      </c>
      <c r="CW40" s="45">
        <f>SUM(CW36:CW39)</f>
        <v>93922</v>
      </c>
      <c r="CX40" s="45">
        <f t="shared" si="95"/>
        <v>113679.85</v>
      </c>
      <c r="CY40" s="45">
        <f t="shared" ref="CY40:DD40" si="96">SUM(CY36:CY39)</f>
        <v>113679.85</v>
      </c>
      <c r="CZ40" s="45">
        <f t="shared" si="96"/>
        <v>67913.850000000006</v>
      </c>
      <c r="DA40" s="45">
        <f t="shared" si="96"/>
        <v>67913.850000000006</v>
      </c>
      <c r="DB40" s="45">
        <f t="shared" si="96"/>
        <v>67913.850000000006</v>
      </c>
      <c r="DC40" s="45">
        <f t="shared" si="96"/>
        <v>67913.850000000006</v>
      </c>
      <c r="DD40" s="45">
        <f t="shared" si="96"/>
        <v>67913.850000000006</v>
      </c>
      <c r="DE40" s="45">
        <f t="shared" ref="DE40:DI40" si="97">SUM(DE36:DE39)</f>
        <v>67913.850000000006</v>
      </c>
      <c r="DF40" s="45">
        <f t="shared" si="97"/>
        <v>67913.850000000006</v>
      </c>
      <c r="DG40" s="45">
        <f t="shared" si="97"/>
        <v>67913.850000000006</v>
      </c>
      <c r="DH40" s="45">
        <f t="shared" si="97"/>
        <v>67913.850000000006</v>
      </c>
      <c r="DI40" s="45">
        <f t="shared" si="97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3" customHeight="1">
      <c r="A41" s="40"/>
      <c r="B41" s="46" t="s">
        <v>192</v>
      </c>
      <c r="C41" s="43">
        <f t="shared" ref="C41:K41" si="98">C35-C40</f>
        <v>3049</v>
      </c>
      <c r="D41" s="43">
        <f t="shared" si="98"/>
        <v>3001</v>
      </c>
      <c r="E41" s="43">
        <f t="shared" si="98"/>
        <v>3274</v>
      </c>
      <c r="F41" s="43">
        <f t="shared" si="98"/>
        <v>3374</v>
      </c>
      <c r="G41" s="43">
        <f t="shared" si="98"/>
        <v>3810</v>
      </c>
      <c r="H41" s="43">
        <f t="shared" si="98"/>
        <v>4090</v>
      </c>
      <c r="I41" s="43">
        <f t="shared" si="98"/>
        <v>3814</v>
      </c>
      <c r="J41" s="43">
        <f t="shared" si="98"/>
        <v>3219</v>
      </c>
      <c r="K41" s="43">
        <f t="shared" si="98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99">AQ35-AQ40</f>
        <v>12448</v>
      </c>
      <c r="AR41" s="43">
        <f t="shared" si="99"/>
        <v>12204</v>
      </c>
      <c r="AS41" s="43">
        <f t="shared" si="99"/>
        <v>11813</v>
      </c>
      <c r="AT41" s="43">
        <f t="shared" si="99"/>
        <v>10783</v>
      </c>
      <c r="AU41" s="43">
        <f t="shared" ref="AU41:AW41" si="100">AU35-AU40</f>
        <v>14239</v>
      </c>
      <c r="AV41" s="43">
        <f t="shared" si="100"/>
        <v>13452</v>
      </c>
      <c r="AW41" s="43">
        <f t="shared" si="100"/>
        <v>12919</v>
      </c>
      <c r="AX41" s="43">
        <f t="shared" ref="AX41:BB41" si="101">AX35-AX40</f>
        <v>11873</v>
      </c>
      <c r="AY41" s="43">
        <f t="shared" si="101"/>
        <v>16302</v>
      </c>
      <c r="AZ41" s="43">
        <f t="shared" si="101"/>
        <v>13838</v>
      </c>
      <c r="BA41" s="43">
        <f t="shared" si="101"/>
        <v>12808</v>
      </c>
      <c r="BB41" s="43">
        <f t="shared" si="101"/>
        <v>11178</v>
      </c>
      <c r="BC41" s="43">
        <f t="shared" ref="BC41:BH41" si="102">BC35-BC40</f>
        <v>14982</v>
      </c>
      <c r="BD41" s="43">
        <f t="shared" si="102"/>
        <v>14779</v>
      </c>
      <c r="BE41" s="43">
        <f t="shared" si="102"/>
        <v>15249</v>
      </c>
      <c r="BF41" s="43">
        <f t="shared" si="102"/>
        <v>13634</v>
      </c>
      <c r="BG41" s="43">
        <f t="shared" si="102"/>
        <v>19147</v>
      </c>
      <c r="BH41" s="43">
        <f t="shared" si="102"/>
        <v>18391</v>
      </c>
      <c r="BI41" s="43">
        <f t="shared" ref="BI41:BN41" si="103">BI35-BI40</f>
        <v>20184</v>
      </c>
      <c r="BJ41" s="43">
        <f t="shared" si="103"/>
        <v>17087</v>
      </c>
      <c r="BK41" s="43">
        <f t="shared" si="103"/>
        <v>25007</v>
      </c>
      <c r="BL41" s="43">
        <f t="shared" si="103"/>
        <v>23888</v>
      </c>
      <c r="BM41" s="43">
        <f t="shared" si="103"/>
        <v>26913</v>
      </c>
      <c r="BN41" s="43">
        <f t="shared" si="103"/>
        <v>26766</v>
      </c>
      <c r="BO41" s="43">
        <f>BO35-BO40</f>
        <v>31846</v>
      </c>
      <c r="BP41" s="43">
        <f>BP35-BP40</f>
        <v>25934</v>
      </c>
      <c r="BQ41" s="43">
        <f t="shared" ref="BQ41:BR41" si="104">BQ35-BQ40</f>
        <v>33822</v>
      </c>
      <c r="BR41" s="43">
        <f t="shared" si="104"/>
        <v>39065.43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5">CI35-CI40</f>
        <v>14592</v>
      </c>
      <c r="CJ41" s="43">
        <f t="shared" si="105"/>
        <v>18891</v>
      </c>
      <c r="CK41" s="43">
        <f>CK35-CK40</f>
        <v>22374</v>
      </c>
      <c r="CL41" s="43">
        <f>CL35-CL40</f>
        <v>29474</v>
      </c>
      <c r="CM41" s="43">
        <f t="shared" si="105"/>
        <v>0</v>
      </c>
      <c r="CN41" s="43">
        <f t="shared" si="105"/>
        <v>34492</v>
      </c>
      <c r="CO41" s="43">
        <f t="shared" si="105"/>
        <v>49444</v>
      </c>
      <c r="CP41" s="43">
        <f t="shared" si="105"/>
        <v>48432</v>
      </c>
      <c r="CQ41" s="45">
        <f>CQ35-CQ40</f>
        <v>47926</v>
      </c>
      <c r="CR41" s="45">
        <f t="shared" ref="CR41:CX41" si="106">CR35-CR40</f>
        <v>46096</v>
      </c>
      <c r="CS41" s="45">
        <f t="shared" si="106"/>
        <v>52483</v>
      </c>
      <c r="CT41" s="45">
        <f t="shared" si="106"/>
        <v>54126</v>
      </c>
      <c r="CU41" s="45">
        <f t="shared" si="106"/>
        <v>58644</v>
      </c>
      <c r="CV41" s="45">
        <f t="shared" si="106"/>
        <v>74809</v>
      </c>
      <c r="CW41" s="45">
        <f>CW35-CW40</f>
        <v>74748.797597647819</v>
      </c>
      <c r="CX41" s="45">
        <f t="shared" si="106"/>
        <v>128658.54000000001</v>
      </c>
      <c r="CY41" s="45">
        <f t="shared" ref="CY41:DD41" si="107">CY35-CY40</f>
        <v>190095.32429999995</v>
      </c>
      <c r="CZ41" s="45">
        <f t="shared" si="107"/>
        <v>303100.75458499999</v>
      </c>
      <c r="DA41" s="45">
        <f t="shared" si="107"/>
        <v>383043.69998074998</v>
      </c>
      <c r="DB41" s="45">
        <f t="shared" si="107"/>
        <v>453197.72224921256</v>
      </c>
      <c r="DC41" s="45">
        <f t="shared" si="107"/>
        <v>529482.75200247054</v>
      </c>
      <c r="DD41" s="45">
        <f t="shared" si="107"/>
        <v>596427.3794848877</v>
      </c>
      <c r="DE41" s="45">
        <f t="shared" ref="DE41:DI41" si="108">DE35-DE40</f>
        <v>453373.42546878557</v>
      </c>
      <c r="DF41" s="45">
        <f t="shared" si="108"/>
        <v>356009.8833877258</v>
      </c>
      <c r="DG41" s="45">
        <f t="shared" si="108"/>
        <v>296785.58908034908</v>
      </c>
      <c r="DH41" s="45">
        <f t="shared" si="108"/>
        <v>259531.99552161366</v>
      </c>
      <c r="DI41" s="45">
        <f t="shared" si="108"/>
        <v>230453.51111573054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3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3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3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09">BX40+SUM(BX41:BX43)</f>
        <v>3176</v>
      </c>
      <c r="BY44" s="43">
        <f t="shared" si="109"/>
        <v>3349</v>
      </c>
      <c r="BZ44" s="43">
        <f t="shared" si="109"/>
        <v>4884</v>
      </c>
      <c r="CA44" s="43">
        <f t="shared" si="109"/>
        <v>5695</v>
      </c>
      <c r="CB44" s="43">
        <f t="shared" si="109"/>
        <v>6328</v>
      </c>
      <c r="CC44" s="43">
        <f t="shared" si="109"/>
        <v>954</v>
      </c>
      <c r="CD44" s="43">
        <f t="shared" si="109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0">SUM(BC44:BF44)</f>
        <v>-436</v>
      </c>
      <c r="CV44" s="45">
        <f t="shared" ref="CV44:CV46" si="111">SUM(BG44:BJ44)</f>
        <v>5747</v>
      </c>
      <c r="CW44" s="45">
        <f t="shared" ref="CW44" si="112">SUM(BK44:BN44)</f>
        <v>-2100</v>
      </c>
      <c r="CX44" s="45">
        <f t="shared" ref="CX44" si="113">SUM(BO44:BR44)</f>
        <v>-1758.5</v>
      </c>
      <c r="CY44" s="45">
        <f>+CX67*$DM$49</f>
        <v>-498.51344</v>
      </c>
      <c r="CZ44" s="45">
        <f t="shared" ref="CZ44:DI44" si="114">+CY67*$DM$49</f>
        <v>-2023.2641419199995</v>
      </c>
      <c r="DA44" s="45">
        <f t="shared" si="114"/>
        <v>-4464.2562917353598</v>
      </c>
      <c r="DB44" s="45">
        <f t="shared" si="114"/>
        <v>-7564.3199419152425</v>
      </c>
      <c r="DC44" s="45">
        <f t="shared" si="114"/>
        <v>-11250.416279444264</v>
      </c>
      <c r="DD44" s="45">
        <f t="shared" si="114"/>
        <v>-15576.281625699583</v>
      </c>
      <c r="DE44" s="45">
        <f t="shared" si="114"/>
        <v>-20472.310914584283</v>
      </c>
      <c r="DF44" s="45">
        <f t="shared" si="114"/>
        <v>-24263.076805651239</v>
      </c>
      <c r="DG44" s="45">
        <f t="shared" si="114"/>
        <v>-27305.260487198258</v>
      </c>
      <c r="DH44" s="45">
        <f t="shared" si="114"/>
        <v>-29897.987283738639</v>
      </c>
      <c r="DI44" s="45">
        <f t="shared" si="114"/>
        <v>-32213.427146181457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3" customHeight="1">
      <c r="A45" s="40"/>
      <c r="B45" s="46" t="s">
        <v>193</v>
      </c>
      <c r="C45" s="43">
        <f t="shared" ref="C45:O45" si="115">SUM(C41:C44)</f>
        <v>3824</v>
      </c>
      <c r="D45" s="43">
        <f t="shared" si="115"/>
        <v>3406</v>
      </c>
      <c r="E45" s="43">
        <f t="shared" si="115"/>
        <v>3588</v>
      </c>
      <c r="F45" s="43">
        <f t="shared" si="115"/>
        <v>3070</v>
      </c>
      <c r="G45" s="43">
        <f t="shared" si="115"/>
        <v>3505</v>
      </c>
      <c r="H45" s="43">
        <f t="shared" si="115"/>
        <v>3884</v>
      </c>
      <c r="I45" s="43">
        <f t="shared" si="115"/>
        <v>3607</v>
      </c>
      <c r="J45" s="43">
        <f t="shared" si="115"/>
        <v>2992</v>
      </c>
      <c r="K45" s="43">
        <f t="shared" si="115"/>
        <v>4317</v>
      </c>
      <c r="L45" s="43">
        <f t="shared" si="115"/>
        <v>4608</v>
      </c>
      <c r="M45" s="43">
        <f t="shared" si="115"/>
        <v>4656</v>
      </c>
      <c r="N45" s="43">
        <f t="shared" si="115"/>
        <v>4907.2000000000007</v>
      </c>
      <c r="O45" s="43">
        <f t="shared" si="115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6">AX41-AX44</f>
        <v>11079</v>
      </c>
      <c r="AY45" s="43">
        <f t="shared" si="116"/>
        <v>15021</v>
      </c>
      <c r="AZ45" s="43">
        <f t="shared" si="116"/>
        <v>13416</v>
      </c>
      <c r="BA45" s="43">
        <f t="shared" si="116"/>
        <v>12691</v>
      </c>
      <c r="BB45" s="43">
        <f t="shared" si="116"/>
        <v>12002</v>
      </c>
      <c r="BC45" s="43">
        <f>BC41-BC44</f>
        <v>15938</v>
      </c>
      <c r="BD45" s="43">
        <f>BD41-BD44</f>
        <v>14917</v>
      </c>
      <c r="BE45" s="43">
        <f t="shared" ref="BE45:BR45" si="117">BE41-BE44</f>
        <v>15112</v>
      </c>
      <c r="BF45" s="43">
        <f t="shared" si="117"/>
        <v>13113</v>
      </c>
      <c r="BG45" s="43">
        <f t="shared" si="117"/>
        <v>17919</v>
      </c>
      <c r="BH45" s="43">
        <f t="shared" si="117"/>
        <v>16795</v>
      </c>
      <c r="BI45" s="43">
        <f t="shared" si="117"/>
        <v>18032</v>
      </c>
      <c r="BJ45" s="43">
        <f t="shared" si="117"/>
        <v>16316</v>
      </c>
      <c r="BK45" s="43">
        <f t="shared" si="117"/>
        <v>24737</v>
      </c>
      <c r="BL45" s="43">
        <f t="shared" si="117"/>
        <v>24254</v>
      </c>
      <c r="BM45" s="43">
        <f t="shared" si="117"/>
        <v>28063</v>
      </c>
      <c r="BN45" s="43">
        <f t="shared" si="117"/>
        <v>27620</v>
      </c>
      <c r="BO45" s="43">
        <f t="shared" si="117"/>
        <v>31918</v>
      </c>
      <c r="BP45" s="43">
        <f>+BP41+BP44</f>
        <v>25332</v>
      </c>
      <c r="BQ45" s="43">
        <f t="shared" si="117"/>
        <v>34384</v>
      </c>
      <c r="BR45" s="43">
        <f t="shared" si="117"/>
        <v>39587.93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8">CI41+SUM(CI42:CI44)</f>
        <v>14592</v>
      </c>
      <c r="CJ45" s="43">
        <f t="shared" si="118"/>
        <v>18286</v>
      </c>
      <c r="CK45" s="43">
        <f t="shared" si="118"/>
        <v>21925</v>
      </c>
      <c r="CL45" s="43">
        <f t="shared" si="118"/>
        <v>27811</v>
      </c>
      <c r="CM45" s="43">
        <f t="shared" si="118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19">+CU41-CU44</f>
        <v>59080</v>
      </c>
      <c r="CV45" s="45">
        <f t="shared" si="119"/>
        <v>69062</v>
      </c>
      <c r="CW45" s="45">
        <f t="shared" si="119"/>
        <v>76848.797597647819</v>
      </c>
      <c r="CX45" s="45">
        <f>+CX41-CX44</f>
        <v>130417.04000000001</v>
      </c>
      <c r="CY45" s="45">
        <f>+CY41-CY44</f>
        <v>190593.83773999996</v>
      </c>
      <c r="CZ45" s="45">
        <f t="shared" ref="CZ45:DD45" si="120">+CZ41-CZ44</f>
        <v>305124.01872692001</v>
      </c>
      <c r="DA45" s="45">
        <f t="shared" si="120"/>
        <v>387507.95627248532</v>
      </c>
      <c r="DB45" s="45">
        <f t="shared" si="120"/>
        <v>460762.04219112778</v>
      </c>
      <c r="DC45" s="45">
        <f t="shared" si="120"/>
        <v>540733.16828191478</v>
      </c>
      <c r="DD45" s="45">
        <f t="shared" si="120"/>
        <v>612003.6611105873</v>
      </c>
      <c r="DE45" s="45">
        <f t="shared" ref="DE45:DI45" si="121">+DE41-DE44</f>
        <v>473845.73638336983</v>
      </c>
      <c r="DF45" s="45">
        <f t="shared" si="121"/>
        <v>380272.96019337705</v>
      </c>
      <c r="DG45" s="45">
        <f t="shared" si="121"/>
        <v>324090.84956754732</v>
      </c>
      <c r="DH45" s="45">
        <f t="shared" si="121"/>
        <v>289429.98280535231</v>
      </c>
      <c r="DI45" s="45">
        <f t="shared" si="121"/>
        <v>262666.93826191197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3" customHeight="1">
      <c r="A46" s="40"/>
      <c r="B46" s="46" t="s">
        <v>198</v>
      </c>
      <c r="C46" s="43">
        <f t="shared" ref="C46:J46" si="122">C45-C47</f>
        <v>1644</v>
      </c>
      <c r="D46" s="43">
        <f t="shared" si="122"/>
        <v>935</v>
      </c>
      <c r="E46" s="43">
        <f t="shared" si="122"/>
        <v>924</v>
      </c>
      <c r="F46" s="43">
        <f t="shared" si="122"/>
        <v>740</v>
      </c>
      <c r="G46" s="43">
        <f t="shared" si="122"/>
        <v>806</v>
      </c>
      <c r="H46" s="43">
        <f t="shared" si="122"/>
        <v>893</v>
      </c>
      <c r="I46" s="43">
        <f t="shared" si="122"/>
        <v>852</v>
      </c>
      <c r="J46" s="43">
        <f t="shared" si="122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7917.5860000000002</v>
      </c>
      <c r="BS46" s="43"/>
      <c r="BT46" s="43"/>
      <c r="BU46" s="43"/>
      <c r="BV46" s="43"/>
      <c r="BW46" s="43"/>
      <c r="BX46" s="43">
        <f t="shared" ref="BX46:CD46" si="123">BX44+BX45</f>
        <v>2016</v>
      </c>
      <c r="BY46" s="43">
        <f t="shared" si="123"/>
        <v>2001</v>
      </c>
      <c r="BZ46" s="43">
        <f t="shared" si="123"/>
        <v>3154</v>
      </c>
      <c r="CA46" s="43">
        <f t="shared" si="123"/>
        <v>3620</v>
      </c>
      <c r="CB46" s="43">
        <f t="shared" si="123"/>
        <v>4116</v>
      </c>
      <c r="CC46" s="43">
        <f t="shared" si="123"/>
        <v>954</v>
      </c>
      <c r="CD46" s="43">
        <f t="shared" si="123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4">SUM(BC46:BF46)</f>
        <v>11323</v>
      </c>
      <c r="CV46" s="45">
        <f t="shared" si="111"/>
        <v>13537</v>
      </c>
      <c r="CW46" s="45">
        <f>SUM(BK46:BN46)</f>
        <v>20991</v>
      </c>
      <c r="CX46" s="45">
        <f>SUM(BO46:BR46)</f>
        <v>26793.585999999999</v>
      </c>
      <c r="CY46" s="45">
        <f>+CY45*0.2</f>
        <v>38118.767547999996</v>
      </c>
      <c r="CZ46" s="45">
        <f t="shared" ref="CZ46:DD46" si="125">+CZ45*0.2</f>
        <v>61024.803745384008</v>
      </c>
      <c r="DA46" s="45">
        <f t="shared" si="125"/>
        <v>77501.591254497063</v>
      </c>
      <c r="DB46" s="45">
        <f t="shared" si="125"/>
        <v>92152.408438225568</v>
      </c>
      <c r="DC46" s="45">
        <f t="shared" si="125"/>
        <v>108146.63365638297</v>
      </c>
      <c r="DD46" s="45">
        <f t="shared" si="125"/>
        <v>122400.73222211747</v>
      </c>
      <c r="DE46" s="45">
        <f t="shared" ref="DE46:DI46" si="126">+DE45*0.2</f>
        <v>94769.147276673975</v>
      </c>
      <c r="DF46" s="45">
        <f t="shared" si="126"/>
        <v>76054.592038675415</v>
      </c>
      <c r="DG46" s="45">
        <f t="shared" si="126"/>
        <v>64818.169913509468</v>
      </c>
      <c r="DH46" s="45">
        <f t="shared" si="126"/>
        <v>57885.996561070468</v>
      </c>
      <c r="DI46" s="45">
        <f t="shared" si="126"/>
        <v>52533.3876523824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3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7">AU45-AU46</f>
        <v>10445</v>
      </c>
      <c r="AV47" s="43">
        <f t="shared" si="127"/>
        <v>9595</v>
      </c>
      <c r="AW47" s="43">
        <f t="shared" si="127"/>
        <v>10194</v>
      </c>
      <c r="AX47" s="43">
        <f t="shared" ref="AX47:BB47" si="128">AX45-AX46</f>
        <v>8717</v>
      </c>
      <c r="AY47" s="43">
        <f t="shared" si="128"/>
        <v>11897</v>
      </c>
      <c r="AZ47" s="43">
        <f t="shared" si="128"/>
        <v>10625</v>
      </c>
      <c r="BA47" s="43">
        <f t="shared" si="128"/>
        <v>10298</v>
      </c>
      <c r="BB47" s="43">
        <f t="shared" si="128"/>
        <v>9318</v>
      </c>
      <c r="BC47" s="43">
        <f>BC45-BC46</f>
        <v>12623</v>
      </c>
      <c r="BD47" s="43">
        <f>BD45-BD46</f>
        <v>12123</v>
      </c>
      <c r="BE47" s="43">
        <f t="shared" ref="BE47:BG47" si="129">BE45-BE46</f>
        <v>12119</v>
      </c>
      <c r="BF47" s="43">
        <f t="shared" si="129"/>
        <v>10892</v>
      </c>
      <c r="BG47" s="43">
        <f t="shared" si="129"/>
        <v>14210</v>
      </c>
      <c r="BH47" s="43">
        <f>BH45-BH46</f>
        <v>13318</v>
      </c>
      <c r="BI47" s="43">
        <f t="shared" ref="BI47:BR47" si="130">BI45-BI46</f>
        <v>14405</v>
      </c>
      <c r="BJ47" s="43">
        <f t="shared" si="130"/>
        <v>13592</v>
      </c>
      <c r="BK47" s="43">
        <f t="shared" si="130"/>
        <v>19814</v>
      </c>
      <c r="BL47" s="43">
        <f t="shared" si="130"/>
        <v>19428</v>
      </c>
      <c r="BM47" s="43">
        <f t="shared" si="130"/>
        <v>22478</v>
      </c>
      <c r="BN47" s="43">
        <f t="shared" si="130"/>
        <v>21963</v>
      </c>
      <c r="BO47" s="43">
        <f t="shared" si="130"/>
        <v>25407</v>
      </c>
      <c r="BP47" s="43">
        <f t="shared" si="130"/>
        <v>20050</v>
      </c>
      <c r="BQ47" s="43">
        <f t="shared" si="130"/>
        <v>27301</v>
      </c>
      <c r="BR47" s="43">
        <f t="shared" si="130"/>
        <v>31670.344000000001</v>
      </c>
      <c r="BS47" s="43"/>
      <c r="BT47" s="43"/>
      <c r="BU47" s="43"/>
      <c r="BV47" s="43"/>
      <c r="BW47" s="43"/>
      <c r="BX47" s="11">
        <f t="shared" ref="BX47:CB47" si="131">BX46/BX48</f>
        <v>5.4339622641509431</v>
      </c>
      <c r="BY47" s="11">
        <f t="shared" si="131"/>
        <v>5.5909784351966199</v>
      </c>
      <c r="BZ47" s="11">
        <f t="shared" si="131"/>
        <v>9.0298275927642493</v>
      </c>
      <c r="CA47" s="11">
        <f t="shared" si="131"/>
        <v>10.449736117774917</v>
      </c>
      <c r="CB47" s="11">
        <f t="shared" si="131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2">CI45-CI46</f>
        <v>9484.7999999999993</v>
      </c>
      <c r="CJ47" s="43">
        <f>CJ45-CJ46</f>
        <v>14403</v>
      </c>
      <c r="CK47" s="43">
        <f t="shared" si="132"/>
        <v>17097</v>
      </c>
      <c r="CL47" s="43">
        <f t="shared" si="132"/>
        <v>21432</v>
      </c>
      <c r="CM47" s="43">
        <f t="shared" si="132"/>
        <v>0</v>
      </c>
      <c r="CN47" s="43">
        <f t="shared" si="132"/>
        <v>26481</v>
      </c>
      <c r="CO47" s="43">
        <f t="shared" si="132"/>
        <v>34860</v>
      </c>
      <c r="CP47" s="43">
        <f t="shared" si="132"/>
        <v>37925</v>
      </c>
      <c r="CQ47" s="45"/>
      <c r="CR47" s="45"/>
      <c r="CS47" s="45">
        <f t="shared" ref="CS47:DI47" si="133">+CS45-CS46</f>
        <v>38951</v>
      </c>
      <c r="CT47" s="45">
        <f t="shared" si="133"/>
        <v>42138</v>
      </c>
      <c r="CU47" s="45">
        <f t="shared" si="133"/>
        <v>47757</v>
      </c>
      <c r="CV47" s="45">
        <f t="shared" si="133"/>
        <v>55525</v>
      </c>
      <c r="CW47" s="45">
        <f t="shared" si="133"/>
        <v>55857.797597647819</v>
      </c>
      <c r="CX47" s="45">
        <f t="shared" si="133"/>
        <v>103623.45400000001</v>
      </c>
      <c r="CY47" s="45">
        <f t="shared" si="133"/>
        <v>152475.07019199996</v>
      </c>
      <c r="CZ47" s="45">
        <f t="shared" si="133"/>
        <v>244099.214981536</v>
      </c>
      <c r="DA47" s="45">
        <f t="shared" si="133"/>
        <v>310006.36501798825</v>
      </c>
      <c r="DB47" s="45">
        <f t="shared" si="133"/>
        <v>368609.63375290221</v>
      </c>
      <c r="DC47" s="45">
        <f t="shared" si="133"/>
        <v>432586.53462553181</v>
      </c>
      <c r="DD47" s="45">
        <f t="shared" si="133"/>
        <v>489602.92888846982</v>
      </c>
      <c r="DE47" s="45">
        <f t="shared" si="133"/>
        <v>379076.58910669584</v>
      </c>
      <c r="DF47" s="45">
        <f t="shared" si="133"/>
        <v>304218.36815470166</v>
      </c>
      <c r="DG47" s="45">
        <f t="shared" si="133"/>
        <v>259272.67965403787</v>
      </c>
      <c r="DH47" s="45">
        <f t="shared" si="133"/>
        <v>231543.98624428184</v>
      </c>
      <c r="DI47" s="45">
        <f t="shared" si="133"/>
        <v>210133.55060952957</v>
      </c>
      <c r="DJ47" s="45">
        <f>DI47*(1+$DM$50)</f>
        <v>208032.21510343428</v>
      </c>
      <c r="DK47" s="45">
        <f>DJ47*(1+$DM$50)</f>
        <v>205951.89295239994</v>
      </c>
      <c r="DL47" s="45">
        <f>DK47*(1+$DM$50)</f>
        <v>203892.37402287594</v>
      </c>
      <c r="DM47" s="45">
        <f>DL47*(1+$DM$50)</f>
        <v>201853.45028264719</v>
      </c>
      <c r="DN47" s="45">
        <f>DM47*(1+$DM$50)</f>
        <v>199834.9157798207</v>
      </c>
      <c r="DO47" s="45">
        <f>DN47*(1+$DM$50)</f>
        <v>197836.56662202248</v>
      </c>
      <c r="DP47" s="45">
        <f>DO47*(1+$DM$50)</f>
        <v>195858.20095580225</v>
      </c>
      <c r="DQ47" s="45">
        <f>DP47*(1+$DM$50)</f>
        <v>193899.61894624424</v>
      </c>
      <c r="DR47" s="45">
        <f>DQ47*(1+$DM$50)</f>
        <v>191960.62275678178</v>
      </c>
      <c r="DS47" s="45">
        <f>DR47*(1+$DM$50)</f>
        <v>190041.01652921396</v>
      </c>
      <c r="DT47" s="45">
        <f>DS47*(1+$DM$50)</f>
        <v>188140.6063639218</v>
      </c>
      <c r="DU47" s="45">
        <f>DT47*(1+$DM$50)</f>
        <v>186259.20030028259</v>
      </c>
      <c r="DV47" s="45">
        <f>DU47*(1+$DM$50)</f>
        <v>184396.60829727977</v>
      </c>
      <c r="DW47" s="45">
        <f>DV47*(1+$DM$50)</f>
        <v>182552.64221430698</v>
      </c>
      <c r="DX47" s="45">
        <f>DW47*(1+$DM$50)</f>
        <v>180727.11579216391</v>
      </c>
      <c r="DY47" s="45">
        <f>DX47*(1+$DM$50)</f>
        <v>178919.84463424227</v>
      </c>
      <c r="DZ47" s="45">
        <f>DY47*(1+$DM$50)</f>
        <v>177130.64618789984</v>
      </c>
      <c r="EA47" s="45">
        <f>DZ47*(1+$DM$50)</f>
        <v>175359.33972602084</v>
      </c>
      <c r="EB47" s="45">
        <f>EA47*(1+$DM$50)</f>
        <v>173605.74632876064</v>
      </c>
      <c r="EC47" s="45">
        <f>EB47*(1+$DM$50)</f>
        <v>171869.68886547303</v>
      </c>
      <c r="ED47" s="45">
        <f>EC47*(1+$DM$50)</f>
        <v>170150.9919768183</v>
      </c>
      <c r="EE47" s="45">
        <f>ED47*(1+$DM$50)</f>
        <v>168449.48205705013</v>
      </c>
      <c r="EF47" s="45">
        <f>EE47*(1+$DM$50)</f>
        <v>166764.98723647962</v>
      </c>
      <c r="EG47" s="45">
        <f>EF47*(1+$DM$50)</f>
        <v>165097.33736411482</v>
      </c>
      <c r="EH47" s="45">
        <f>EG47*(1+$DM$50)</f>
        <v>163446.36399047368</v>
      </c>
      <c r="EI47" s="45">
        <f>EH47*(1+$DM$50)</f>
        <v>161811.90035056893</v>
      </c>
      <c r="EJ47" s="45">
        <f>EI47*(1+$DM$50)</f>
        <v>160193.78134706325</v>
      </c>
      <c r="EK47" s="45">
        <f>EJ47*(1+$DM$50)</f>
        <v>158591.84353359262</v>
      </c>
      <c r="EL47" s="45">
        <f>EK47*(1+$DM$50)</f>
        <v>157005.9250982567</v>
      </c>
      <c r="EM47" s="45">
        <f>EL47*(1+$DM$50)</f>
        <v>155435.86584727414</v>
      </c>
      <c r="EN47" s="45">
        <f>EM47*(1+$DM$50)</f>
        <v>153881.50718880139</v>
      </c>
      <c r="EO47" s="45">
        <f>EN47*(1+$DM$50)</f>
        <v>152342.69211691339</v>
      </c>
    </row>
    <row r="48" spans="1:145" s="12" customFormat="1" ht="13" customHeight="1">
      <c r="A48" s="8"/>
      <c r="B48" s="9" t="s">
        <v>140</v>
      </c>
      <c r="C48" s="11">
        <f t="shared" ref="C48:J48" si="134">C47/C49</f>
        <v>3.4807600191601473</v>
      </c>
      <c r="D48" s="11">
        <f t="shared" si="134"/>
        <v>3.994503718073068</v>
      </c>
      <c r="E48" s="11">
        <f t="shared" si="134"/>
        <v>4.3359375</v>
      </c>
      <c r="F48" s="11">
        <f t="shared" si="134"/>
        <v>3.7923177083333335</v>
      </c>
      <c r="G48" s="11">
        <f t="shared" si="134"/>
        <v>4.4050922147870084</v>
      </c>
      <c r="H48" s="11">
        <f t="shared" si="134"/>
        <v>4.9202171409771349</v>
      </c>
      <c r="I48" s="11">
        <f t="shared" si="134"/>
        <v>4.5809777186564684</v>
      </c>
      <c r="J48" s="11">
        <f t="shared" si="134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5">AQ47/AQ49</f>
        <v>4.4019981165295006</v>
      </c>
      <c r="AR48" s="11">
        <f t="shared" si="135"/>
        <v>4.2548027479534332</v>
      </c>
      <c r="AS48" s="11">
        <f t="shared" si="135"/>
        <v>3.7355324074074079</v>
      </c>
      <c r="AT48" s="11">
        <f t="shared" si="135"/>
        <v>3.5314409209924777</v>
      </c>
      <c r="AU48" s="11">
        <f t="shared" ref="AU48:AW48" si="136">AU47/AU49</f>
        <v>4.3618976029399485</v>
      </c>
      <c r="AV48" s="11">
        <f t="shared" si="136"/>
        <v>4.0255926159009858</v>
      </c>
      <c r="AW48" s="11">
        <f t="shared" si="136"/>
        <v>4.2954660374178326</v>
      </c>
      <c r="AX48" s="11">
        <f t="shared" ref="AX48:BB48" si="137">AX47/AX49</f>
        <v>3.6884864384547029</v>
      </c>
      <c r="AY48" s="11">
        <f t="shared" si="137"/>
        <v>5.0522337353490743</v>
      </c>
      <c r="AZ48" s="11">
        <f t="shared" si="137"/>
        <v>4.5311100686596442</v>
      </c>
      <c r="BA48" s="11">
        <f t="shared" si="137"/>
        <v>4.4100895036615135</v>
      </c>
      <c r="BB48" s="11">
        <f t="shared" si="137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38">BE47/BE49</f>
        <v>5.2753232055021106</v>
      </c>
      <c r="BF48" s="11">
        <f t="shared" si="138"/>
        <v>4.7550860036671621</v>
      </c>
      <c r="BG48" s="11">
        <f t="shared" si="138"/>
        <v>3.1117242587483025</v>
      </c>
      <c r="BH48" s="11">
        <f>BH47/BH49</f>
        <v>2.9256183823206361</v>
      </c>
      <c r="BI48" s="11">
        <f t="shared" ref="BI48:BR48" si="139">BI47/BI49</f>
        <v>3.1750055102490631</v>
      </c>
      <c r="BJ48" s="11">
        <f t="shared" si="139"/>
        <v>3.0052180065446183</v>
      </c>
      <c r="BK48" s="11">
        <f t="shared" si="139"/>
        <v>4.3902330940352741</v>
      </c>
      <c r="BL48" s="11">
        <f t="shared" si="139"/>
        <v>4.3148403144849636</v>
      </c>
      <c r="BM48" s="11">
        <f t="shared" si="139"/>
        <v>5.0073513031855645</v>
      </c>
      <c r="BN48" s="11">
        <f t="shared" si="139"/>
        <v>4.905302184303391</v>
      </c>
      <c r="BO48" s="11">
        <f t="shared" si="139"/>
        <v>5.6832569063863101</v>
      </c>
      <c r="BP48" s="11">
        <f t="shared" si="139"/>
        <v>4.4900792762126578</v>
      </c>
      <c r="BQ48" s="11">
        <f t="shared" si="139"/>
        <v>6.1206142809102122</v>
      </c>
      <c r="BR48" s="11">
        <f t="shared" si="139"/>
        <v>7.1001780069498936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0">CJ47/CJ49</f>
        <v>24.600453988798879</v>
      </c>
      <c r="CK48" s="11">
        <f t="shared" si="140"/>
        <v>29.987792300730359</v>
      </c>
      <c r="CL48" s="11">
        <f t="shared" si="140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12.425130984562029</v>
      </c>
      <c r="CX48" s="65">
        <f>+CX47/CX49</f>
        <v>23.211969378783554</v>
      </c>
      <c r="CY48" s="65">
        <f>+CY47/CY49</f>
        <v>34.15488022937911</v>
      </c>
      <c r="CZ48" s="65">
        <f t="shared" ref="CZ48:DI48" si="141">+CZ47/CZ49</f>
        <v>54.678967789826004</v>
      </c>
      <c r="DA48" s="65">
        <f t="shared" si="141"/>
        <v>69.442370180263808</v>
      </c>
      <c r="DB48" s="65">
        <f t="shared" si="141"/>
        <v>82.569680908310445</v>
      </c>
      <c r="DC48" s="65">
        <f t="shared" si="141"/>
        <v>96.900701605660956</v>
      </c>
      <c r="DD48" s="65">
        <f t="shared" si="141"/>
        <v>109.67254761766483</v>
      </c>
      <c r="DE48" s="65">
        <f t="shared" si="141"/>
        <v>84.914310794526671</v>
      </c>
      <c r="DF48" s="65">
        <f t="shared" si="141"/>
        <v>68.145841250094165</v>
      </c>
      <c r="DG48" s="65">
        <f t="shared" si="141"/>
        <v>58.077870101537862</v>
      </c>
      <c r="DH48" s="65">
        <f t="shared" si="141"/>
        <v>51.866558303912065</v>
      </c>
      <c r="DI48" s="65">
        <f t="shared" si="141"/>
        <v>47.070555496089369</v>
      </c>
    </row>
    <row r="49" spans="1:145" ht="13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2">BY46</f>
        <v>2001</v>
      </c>
      <c r="BZ49" s="43">
        <f t="shared" si="142"/>
        <v>3154</v>
      </c>
      <c r="CA49" s="43">
        <f t="shared" si="142"/>
        <v>3620</v>
      </c>
      <c r="CB49" s="43">
        <f t="shared" si="142"/>
        <v>4116</v>
      </c>
      <c r="CC49" s="43">
        <f t="shared" si="142"/>
        <v>954</v>
      </c>
      <c r="CD49" s="43">
        <f t="shared" si="142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3">+CY49</f>
        <v>4464.2250000000004</v>
      </c>
      <c r="DA49" s="45">
        <f t="shared" si="143"/>
        <v>4464.2250000000004</v>
      </c>
      <c r="DB49" s="45">
        <f t="shared" si="143"/>
        <v>4464.2250000000004</v>
      </c>
      <c r="DC49" s="45">
        <f t="shared" si="143"/>
        <v>4464.2250000000004</v>
      </c>
      <c r="DD49" s="45">
        <f t="shared" si="143"/>
        <v>4464.2250000000004</v>
      </c>
      <c r="DE49" s="45">
        <f t="shared" si="143"/>
        <v>4464.2250000000004</v>
      </c>
      <c r="DF49" s="45">
        <f t="shared" si="143"/>
        <v>4464.2250000000004</v>
      </c>
      <c r="DG49" s="45">
        <f t="shared" si="143"/>
        <v>4464.2250000000004</v>
      </c>
      <c r="DH49" s="45">
        <f t="shared" si="143"/>
        <v>4464.2250000000004</v>
      </c>
      <c r="DI49" s="45">
        <f t="shared" si="143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3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3" customHeight="1">
      <c r="B51" s="46" t="s">
        <v>144</v>
      </c>
      <c r="C51" s="52"/>
      <c r="D51" s="52"/>
      <c r="E51" s="52"/>
      <c r="F51" s="52"/>
      <c r="G51" s="53">
        <f t="shared" ref="G51:O51" si="144">G33/C33-1</f>
        <v>0.17750141322781232</v>
      </c>
      <c r="H51" s="53">
        <f t="shared" si="144"/>
        <v>0.17020702070207028</v>
      </c>
      <c r="I51" s="53">
        <f t="shared" si="144"/>
        <v>0.11550773608394094</v>
      </c>
      <c r="J51" s="53">
        <f t="shared" si="144"/>
        <v>4.2756099499324574E-2</v>
      </c>
      <c r="K51" s="53">
        <f t="shared" si="144"/>
        <v>9.4095055208833323E-2</v>
      </c>
      <c r="L51" s="53">
        <f t="shared" si="144"/>
        <v>0.18406276440273817</v>
      </c>
      <c r="M51" s="53">
        <f t="shared" si="144"/>
        <v>0.24224790753288161</v>
      </c>
      <c r="N51" s="53">
        <f t="shared" si="144"/>
        <v>0.22886975078119054</v>
      </c>
      <c r="O51" s="53">
        <f t="shared" si="144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5">AQ33/AM33-1</f>
        <v>-5.349360326163366E-2</v>
      </c>
      <c r="AR51" s="53">
        <f t="shared" ref="AR51" si="146">AR33/AN33-1</f>
        <v>-4.2984845310426678E-2</v>
      </c>
      <c r="AS51" s="53">
        <f t="shared" ref="AS51" si="147">AS33/AO33-1</f>
        <v>4.3135192004208234E-2</v>
      </c>
      <c r="AT51" s="53">
        <f t="shared" ref="AT51" si="148">AT33/AP33-1</f>
        <v>6.2160617319234168E-2</v>
      </c>
      <c r="AU51" s="53">
        <f t="shared" ref="AU51:AV51" si="149">AU33/AQ33-1</f>
        <v>8.7671741552172389E-2</v>
      </c>
      <c r="AV51" s="53">
        <f t="shared" si="149"/>
        <v>9.5924398876199524E-2</v>
      </c>
      <c r="AW51" s="53">
        <f t="shared" ref="AW51" si="150">AW33/AS33-1</f>
        <v>9.0591455946977817E-2</v>
      </c>
      <c r="AX51" s="53">
        <f t="shared" ref="AX51" si="151">AX33/AT33-1</f>
        <v>9.0306740212565684E-2</v>
      </c>
      <c r="AY51" s="53">
        <f t="shared" ref="AY51" si="152">AY33/AU33-1</f>
        <v>0.15649858318254761</v>
      </c>
      <c r="AZ51" s="53">
        <f t="shared" ref="AZ51" si="153">AZ33/AV33-1</f>
        <v>-9.9880143827402179E-4</v>
      </c>
      <c r="BA51" s="53">
        <f t="shared" ref="BA51:BH51" si="154">BA33/AW33-1</f>
        <v>2.1468441391155002E-2</v>
      </c>
      <c r="BB51" s="53">
        <f t="shared" si="154"/>
        <v>-8.6065953049325739E-3</v>
      </c>
      <c r="BC51" s="53">
        <f t="shared" si="154"/>
        <v>-2.0959409594095701E-3</v>
      </c>
      <c r="BD51" s="53">
        <f t="shared" si="154"/>
        <v>0.10114643737919082</v>
      </c>
      <c r="BE51" s="53">
        <f t="shared" si="154"/>
        <v>0.15180909884566884</v>
      </c>
      <c r="BF51" s="53">
        <f t="shared" si="154"/>
        <v>0.19276246188312895</v>
      </c>
      <c r="BG51" s="53">
        <f t="shared" si="154"/>
        <v>0.24337356525854936</v>
      </c>
      <c r="BH51" s="53">
        <f t="shared" si="154"/>
        <v>0.24890287824218404</v>
      </c>
      <c r="BI51" s="53">
        <f t="shared" ref="BI51:BJ51" si="155">BI33/BE33-1</f>
        <v>0.27915333221043181</v>
      </c>
      <c r="BJ51" s="53">
        <f t="shared" si="155"/>
        <v>0.2545848224767171</v>
      </c>
      <c r="BK51" s="53">
        <f t="shared" ref="BK51:BV51" si="156">BK33/BG33-1</f>
        <v>0.26970569341676387</v>
      </c>
      <c r="BL51" s="53">
        <f t="shared" si="156"/>
        <v>0.31588513267902574</v>
      </c>
      <c r="BM51" s="53">
        <f t="shared" si="156"/>
        <v>0.28892156432427685</v>
      </c>
      <c r="BN51" s="53">
        <f t="shared" si="156"/>
        <v>0.9481036846534181</v>
      </c>
      <c r="BO51" s="53">
        <f t="shared" si="156"/>
        <v>0.22452077126314007</v>
      </c>
      <c r="BP51" s="53">
        <f t="shared" si="156"/>
        <v>0.2534069981583793</v>
      </c>
      <c r="BQ51" s="53">
        <f t="shared" si="156"/>
        <v>0.21419693177368004</v>
      </c>
      <c r="BR51" s="53">
        <f t="shared" si="156"/>
        <v>-0.10685873082885433</v>
      </c>
      <c r="BS51" s="53">
        <f t="shared" si="156"/>
        <v>0.2861214402668748</v>
      </c>
      <c r="BT51" s="53">
        <f t="shared" si="156"/>
        <v>0.25671054951513361</v>
      </c>
      <c r="BU51" s="53">
        <f t="shared" si="156"/>
        <v>0.20698896383447152</v>
      </c>
      <c r="BV51" s="53">
        <f t="shared" si="156"/>
        <v>0.21577902118627845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7">CJ33/CI33-1</f>
        <v>0.18784325222319942</v>
      </c>
      <c r="CK51" s="54">
        <f t="shared" si="157"/>
        <v>9.164801895485053E-2</v>
      </c>
      <c r="CL51" s="54">
        <f t="shared" si="157"/>
        <v>0.17604678503602322</v>
      </c>
      <c r="CM51" s="54">
        <f t="shared" si="157"/>
        <v>7.1078871145515699E-2</v>
      </c>
      <c r="CN51" s="54">
        <f t="shared" si="157"/>
        <v>6.262863159910026E-2</v>
      </c>
      <c r="CO51" s="54">
        <f t="shared" si="157"/>
        <v>0.21531202846654507</v>
      </c>
      <c r="CP51" s="54">
        <f t="shared" si="157"/>
        <v>3.5700056519684553E-2</v>
      </c>
      <c r="CQ51" s="54">
        <f t="shared" si="157"/>
        <v>-7.5147611379500212E-4</v>
      </c>
      <c r="CR51" s="54">
        <f t="shared" si="157"/>
        <v>1.208637730984119E-3</v>
      </c>
      <c r="CS51" s="54">
        <f t="shared" si="157"/>
        <v>9.1119635879139071E-2</v>
      </c>
      <c r="CT51" s="54">
        <f t="shared" si="157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0.23304347264499858</v>
      </c>
      <c r="CY51" s="54">
        <f t="shared" ref="CY51:DI51" si="158">CY33/CX33-1</f>
        <v>0.24789680542031234</v>
      </c>
      <c r="CZ51" s="54">
        <f t="shared" si="158"/>
        <v>0.22134603474409098</v>
      </c>
      <c r="DA51" s="54">
        <f t="shared" si="158"/>
        <v>0.21547115506455738</v>
      </c>
      <c r="DB51" s="54">
        <f t="shared" si="158"/>
        <v>0.1555667984080924</v>
      </c>
      <c r="DC51" s="54">
        <f t="shared" si="158"/>
        <v>0.14638905335377195</v>
      </c>
      <c r="DD51" s="54">
        <f t="shared" si="158"/>
        <v>0.11206060974906618</v>
      </c>
      <c r="DE51" s="54">
        <f t="shared" si="158"/>
        <v>-0.21533204273204942</v>
      </c>
      <c r="DF51" s="54">
        <f t="shared" si="158"/>
        <v>-0.18677521332839409</v>
      </c>
      <c r="DG51" s="54">
        <f t="shared" si="158"/>
        <v>-0.13970506872567434</v>
      </c>
      <c r="DH51" s="54">
        <f t="shared" si="158"/>
        <v>-0.10214875474631013</v>
      </c>
      <c r="DI51" s="54">
        <f t="shared" si="158"/>
        <v>-8.8803949732700893E-2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3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8"/>
      <c r="BS52" s="68"/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3148446.4404725106</v>
      </c>
    </row>
    <row r="53" spans="1:145" ht="13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59">AV17/AR17-1</f>
        <v>10.923076923076923</v>
      </c>
      <c r="AW53" s="54">
        <f t="shared" ref="AW53" si="160">AW17/AS17-1</f>
        <v>4.7814814814814817</v>
      </c>
      <c r="AX53" s="54">
        <f t="shared" ref="AX53" si="161">AX17/AT17-1</f>
        <v>3.400201612903226</v>
      </c>
      <c r="AY53" s="54">
        <f t="shared" ref="AY53" si="162">AY17/AU17-1</f>
        <v>2.3368421052631581</v>
      </c>
      <c r="AZ53" s="54">
        <f t="shared" ref="AZ53" si="163">AZ17/AV17-1</f>
        <v>1.08</v>
      </c>
      <c r="BA53" s="54">
        <f t="shared" ref="BA53:BH53" si="164">BA17/AW17-1</f>
        <v>0.73991031390134521</v>
      </c>
      <c r="BB53" s="54">
        <f t="shared" si="164"/>
        <v>0.41764032073310431</v>
      </c>
      <c r="BC53" s="54">
        <f t="shared" si="164"/>
        <v>0.40105152471083061</v>
      </c>
      <c r="BD53" s="54">
        <f t="shared" si="164"/>
        <v>0.53742762613730366</v>
      </c>
      <c r="BE53" s="54">
        <f t="shared" si="164"/>
        <v>0.63696612665684826</v>
      </c>
      <c r="BF53" s="54">
        <f t="shared" si="164"/>
        <v>0.73173884938590827</v>
      </c>
      <c r="BG53" s="54">
        <f t="shared" si="164"/>
        <v>0.80651456019213441</v>
      </c>
      <c r="BH53" s="54">
        <f t="shared" si="164"/>
        <v>0.9299260255548083</v>
      </c>
      <c r="BI53" s="54">
        <f t="shared" ref="BI53:BR53" si="165">BI17/BE17-1</f>
        <v>0.84322986954565904</v>
      </c>
      <c r="BJ53" s="54">
        <f t="shared" si="165"/>
        <v>0.58417319895483399</v>
      </c>
      <c r="BK53" s="54">
        <f t="shared" si="165"/>
        <v>0.63190693809721643</v>
      </c>
      <c r="BL53" s="54">
        <f t="shared" si="165"/>
        <v>0.54024670708760203</v>
      </c>
      <c r="BM53" s="54">
        <f t="shared" si="165"/>
        <v>0.45893837705918239</v>
      </c>
      <c r="BN53" s="54">
        <f t="shared" si="165"/>
        <v>0.77102968897266733</v>
      </c>
      <c r="BO53" s="54">
        <f t="shared" si="165"/>
        <v>0.41598778004073322</v>
      </c>
      <c r="BP53" s="54">
        <f>BP17/BL17-1</f>
        <v>0.30650196823673137</v>
      </c>
      <c r="BQ53" s="54">
        <f t="shared" si="165"/>
        <v>0.24640347942455665</v>
      </c>
      <c r="BR53" s="54">
        <f t="shared" si="165"/>
        <v>0.30000000000000004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>+CU17/CT17-1</f>
        <v>0.58903399179670934</v>
      </c>
      <c r="CV53" s="49">
        <f>+CV17/CU17-1</f>
        <v>0.77273401572466982</v>
      </c>
      <c r="CW53" s="49">
        <f>+CW17/CV17-1</f>
        <v>0.6019748953974895</v>
      </c>
      <c r="CX53" s="49">
        <f>+CX17/CW17-1</f>
        <v>0.31191103031822642</v>
      </c>
      <c r="CY53" s="49">
        <f>+CY17/CX17-1</f>
        <v>0.30000000000000004</v>
      </c>
      <c r="CZ53" s="49">
        <f>+CZ17/CY17-1</f>
        <v>0.30000000000000004</v>
      </c>
      <c r="DA53" s="49">
        <f>+DA17/CZ17-1</f>
        <v>0.25</v>
      </c>
      <c r="DB53" s="49">
        <f>+DB17/DA17-1</f>
        <v>0.14999999999999991</v>
      </c>
      <c r="DC53" s="49">
        <f>+DC17/DB17-1</f>
        <v>0.10000000000000009</v>
      </c>
      <c r="DD53" s="49">
        <f>+DD17/DC17-1</f>
        <v>0.10000000000000009</v>
      </c>
      <c r="DE53" s="49">
        <f>+DE17/DD17-1</f>
        <v>-0.30000000000000004</v>
      </c>
      <c r="DF53" s="49">
        <f>+DF17/DE17-1</f>
        <v>-0.30000000000000004</v>
      </c>
      <c r="DG53" s="49">
        <f>+DG17/DF17-1</f>
        <v>-0.30000000000000004</v>
      </c>
      <c r="DH53" s="49">
        <f>+DH17/DG17-1</f>
        <v>-0.30000000000000004</v>
      </c>
      <c r="DI53" s="49">
        <f>+DI17/DH17-1</f>
        <v>-0.30000000000000004</v>
      </c>
      <c r="DJ53" s="39"/>
      <c r="DK53" s="39"/>
      <c r="DL53" s="36" t="s">
        <v>573</v>
      </c>
      <c r="DM53" s="51">
        <f>DM52/Main!$J$3</f>
        <v>705.77145045337602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3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6">SUM(AU15:AU21)/SUM(AQ15:AQ21)-1</f>
        <v>0.22407732864674879</v>
      </c>
      <c r="AV54" s="54">
        <f t="shared" ref="AV54" si="167">SUM(AV15:AV21)/SUM(AR15:AR21)-1</f>
        <v>0.35184369031878937</v>
      </c>
      <c r="AW54" s="54">
        <f t="shared" ref="AW54" si="168">SUM(AW15:AW21)/SUM(AS15:AS21)-1</f>
        <v>0.29992148652185291</v>
      </c>
      <c r="AX54" s="54">
        <f t="shared" ref="AX54" si="169">SUM(AX15:AX21)/SUM(AT15:AT21)-1</f>
        <v>0.30787753697970421</v>
      </c>
      <c r="AY54" s="54">
        <f t="shared" ref="AY54" si="170">SUM(AY15:AY21)/SUM(AU15:AU21)-1</f>
        <v>0.38214883943527167</v>
      </c>
      <c r="AZ54" s="54">
        <f t="shared" ref="AZ54" si="171">SUM(AZ15:AZ21)/SUM(AV15:AV21)-1</f>
        <v>0.16637687459247985</v>
      </c>
      <c r="BA54" s="54">
        <f t="shared" ref="BA54:BR54" si="172">SUM(BA15:BA21)/SUM(AW15:AW21)-1</f>
        <v>0.20686531105294947</v>
      </c>
      <c r="BB54" s="54">
        <f t="shared" si="172"/>
        <v>0.15421707873049262</v>
      </c>
      <c r="BC54" s="54">
        <f t="shared" si="172"/>
        <v>0.11244806094182835</v>
      </c>
      <c r="BD54" s="54">
        <f t="shared" si="172"/>
        <v>0.31081710612130808</v>
      </c>
      <c r="BE54" s="54">
        <f t="shared" si="172"/>
        <v>0.35507548586204019</v>
      </c>
      <c r="BF54" s="54">
        <f t="shared" si="172"/>
        <v>0.43038359285985561</v>
      </c>
      <c r="BG54" s="54">
        <f t="shared" si="172"/>
        <v>0.62026301455139676</v>
      </c>
      <c r="BH54" s="54">
        <f t="shared" si="172"/>
        <v>0.62584405430378842</v>
      </c>
      <c r="BI54" s="54">
        <f>SUM(BI15:BI21)/SUM(BE15:BE21)-1</f>
        <v>0.64341991874923066</v>
      </c>
      <c r="BJ54" s="54">
        <f t="shared" si="172"/>
        <v>0.58462110349954854</v>
      </c>
      <c r="BK54" s="54">
        <f t="shared" si="172"/>
        <v>0.66424935164729604</v>
      </c>
      <c r="BL54" s="54">
        <f t="shared" si="172"/>
        <v>0.67137361196117862</v>
      </c>
      <c r="BM54" s="54">
        <f t="shared" si="172"/>
        <v>0.60642720701149866</v>
      </c>
      <c r="BN54" s="54">
        <f t="shared" si="172"/>
        <v>0.64175603217158184</v>
      </c>
      <c r="BO54" s="54">
        <f t="shared" si="172"/>
        <v>0.32793697515366627</v>
      </c>
      <c r="BP54" s="54">
        <f t="shared" si="172"/>
        <v>0.33240040804582671</v>
      </c>
      <c r="BQ54" s="54">
        <f t="shared" si="172"/>
        <v>0.25287945908137099</v>
      </c>
      <c r="BR54" s="54">
        <f t="shared" si="172"/>
        <v>0.36111451316595233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585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3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3">AU13/AQ13-1</f>
        <v>5.0071628351183506E-2</v>
      </c>
      <c r="AV55" s="54">
        <f t="shared" ref="AV55" si="174">AV13/AR13-1</f>
        <v>-2.0111731843575398E-2</v>
      </c>
      <c r="AW55" s="54">
        <f t="shared" ref="AW55" si="175">AW13/AS13-1</f>
        <v>-1.335149863760221E-2</v>
      </c>
      <c r="AX55" s="54">
        <f t="shared" ref="AX55" si="176">AX13/AT13-1</f>
        <v>-1.2912197059992025E-2</v>
      </c>
      <c r="AY55" s="54">
        <f t="shared" ref="AY55" si="177">AY13/AU13-1</f>
        <v>3.3846553628272602E-2</v>
      </c>
      <c r="AZ55" s="54">
        <f t="shared" ref="AZ55" si="178">AZ13/AV13-1</f>
        <v>-8.7396874371185151E-2</v>
      </c>
      <c r="BA55" s="54">
        <f t="shared" ref="BA55:BR55" si="179">BA13/AW13-1</f>
        <v>-7.4634078983706109E-2</v>
      </c>
      <c r="BB55" s="54">
        <f t="shared" si="179"/>
        <v>-8.5865700677534074E-2</v>
      </c>
      <c r="BC55" s="54">
        <f t="shared" si="179"/>
        <v>-6.5853965062209419E-2</v>
      </c>
      <c r="BD55" s="54">
        <f t="shared" si="179"/>
        <v>-3.3000146993973245E-2</v>
      </c>
      <c r="BE55" s="54">
        <f t="shared" si="179"/>
        <v>4.5288368275759217E-2</v>
      </c>
      <c r="BF55" s="54">
        <f t="shared" si="179"/>
        <v>2.5390768327584912E-2</v>
      </c>
      <c r="BG55" s="54">
        <f t="shared" si="179"/>
        <v>6.4576886855913784E-3</v>
      </c>
      <c r="BH55" s="54">
        <f t="shared" si="179"/>
        <v>-6.1868207038078604E-2</v>
      </c>
      <c r="BI55" s="54">
        <f t="shared" si="179"/>
        <v>-7.487508922198427E-2</v>
      </c>
      <c r="BJ55" s="54">
        <f t="shared" si="179"/>
        <v>-9.2106204823588333E-2</v>
      </c>
      <c r="BK55" s="54">
        <f t="shared" si="179"/>
        <v>-0.1037962839192621</v>
      </c>
      <c r="BL55" s="54">
        <f t="shared" si="179"/>
        <v>-8.5473547759863933E-2</v>
      </c>
      <c r="BM55" s="54">
        <f t="shared" si="179"/>
        <v>-0.12468173752025302</v>
      </c>
      <c r="BN55" s="54">
        <f t="shared" si="179"/>
        <v>-5.565189973198803E-2</v>
      </c>
      <c r="BO55" s="54">
        <f t="shared" si="179"/>
        <v>7.129539861287193E-2</v>
      </c>
      <c r="BP55" s="54">
        <f t="shared" si="179"/>
        <v>0.11729270021261518</v>
      </c>
      <c r="BQ55" s="54">
        <f t="shared" si="179"/>
        <v>0.10260026443367121</v>
      </c>
      <c r="BR55" s="54">
        <f t="shared" si="179"/>
        <v>1.0000000000000009E-2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9.9606955575343825E-2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0.20644692385192487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3" customHeight="1">
      <c r="B56" s="36" t="s">
        <v>147</v>
      </c>
      <c r="C56" s="55">
        <f t="shared" ref="C56:N56" si="180">C35/C33</f>
        <v>0.77265875259091765</v>
      </c>
      <c r="D56" s="55">
        <f t="shared" si="180"/>
        <v>0.77011701170117008</v>
      </c>
      <c r="E56" s="55">
        <f t="shared" si="180"/>
        <v>0.76827316379157029</v>
      </c>
      <c r="F56" s="55">
        <f t="shared" si="180"/>
        <v>0.79845823730429943</v>
      </c>
      <c r="G56" s="55">
        <f t="shared" si="180"/>
        <v>0.79932789246279401</v>
      </c>
      <c r="H56" s="55">
        <f t="shared" si="180"/>
        <v>0.79924621182985922</v>
      </c>
      <c r="I56" s="55">
        <f t="shared" si="180"/>
        <v>0.78373854125149467</v>
      </c>
      <c r="J56" s="55">
        <f t="shared" si="180"/>
        <v>0.79468028351497599</v>
      </c>
      <c r="K56" s="55">
        <f t="shared" si="180"/>
        <v>0.80327629077080587</v>
      </c>
      <c r="L56" s="55">
        <f t="shared" si="180"/>
        <v>0.80713264908405868</v>
      </c>
      <c r="M56" s="55">
        <f t="shared" si="180"/>
        <v>0.8116016427104723</v>
      </c>
      <c r="N56" s="55">
        <f t="shared" si="180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1">AQ35/AQ33</f>
        <v>0.8441515038989974</v>
      </c>
      <c r="AR56" s="55">
        <f t="shared" si="181"/>
        <v>0.84120845039588421</v>
      </c>
      <c r="AS56" s="55">
        <f t="shared" si="181"/>
        <v>0.84096967077299911</v>
      </c>
      <c r="AT56" s="55">
        <f t="shared" si="181"/>
        <v>0.8435019507601238</v>
      </c>
      <c r="AU56" s="55">
        <f t="shared" ref="AU56:AW56" si="182">AU35/AU33</f>
        <v>0.83844867024000547</v>
      </c>
      <c r="AV56" s="55">
        <f t="shared" si="182"/>
        <v>0.83856039419363426</v>
      </c>
      <c r="AW56" s="55">
        <f t="shared" si="182"/>
        <v>0.83238101529213593</v>
      </c>
      <c r="AX56" s="55">
        <f t="shared" ref="AX56:BV56" si="183">AX35/AX33</f>
        <v>0.83243359965450225</v>
      </c>
      <c r="AY56" s="55">
        <f t="shared" si="183"/>
        <v>0.84100369003690034</v>
      </c>
      <c r="AZ56" s="55">
        <f t="shared" si="183"/>
        <v>0.84096514030527225</v>
      </c>
      <c r="BA56" s="55">
        <f t="shared" si="183"/>
        <v>0.83331716623015484</v>
      </c>
      <c r="BB56" s="55">
        <f t="shared" si="183"/>
        <v>0.8251602464372394</v>
      </c>
      <c r="BC56" s="55">
        <f t="shared" si="183"/>
        <v>0.82809726659566918</v>
      </c>
      <c r="BD56" s="55">
        <f t="shared" si="183"/>
        <v>0.83211767198329345</v>
      </c>
      <c r="BE56" s="55">
        <f t="shared" si="183"/>
        <v>0.82990848352141933</v>
      </c>
      <c r="BF56" s="55">
        <f t="shared" si="183"/>
        <v>0.83718988860772703</v>
      </c>
      <c r="BG56" s="55">
        <f t="shared" si="183"/>
        <v>0.83543099141110133</v>
      </c>
      <c r="BH56" s="55">
        <f t="shared" si="183"/>
        <v>0.85292620865139945</v>
      </c>
      <c r="BI56" s="55">
        <f t="shared" si="183"/>
        <v>0.8419874467804942</v>
      </c>
      <c r="BJ56" s="55">
        <f t="shared" si="183"/>
        <v>0.82820427513931627</v>
      </c>
      <c r="BK56" s="55">
        <f t="shared" si="183"/>
        <v>0.84668428054790412</v>
      </c>
      <c r="BL56" s="55">
        <f t="shared" si="183"/>
        <v>0.85532228360957641</v>
      </c>
      <c r="BM56" s="55">
        <f t="shared" si="183"/>
        <v>0.83461885545963799</v>
      </c>
      <c r="BN56" s="55">
        <f t="shared" si="183"/>
        <v>0.5961156108017911</v>
      </c>
      <c r="BO56" s="55">
        <f t="shared" si="183"/>
        <v>0.8482608762184578</v>
      </c>
      <c r="BP56" s="55">
        <f t="shared" si="183"/>
        <v>0.84904496032912136</v>
      </c>
      <c r="BQ56" s="55">
        <f t="shared" si="183"/>
        <v>0.84142698882360367</v>
      </c>
      <c r="BR56" s="55">
        <f t="shared" si="183"/>
        <v>0.85</v>
      </c>
      <c r="BS56" s="55">
        <f t="shared" si="183"/>
        <v>0</v>
      </c>
      <c r="BT56" s="55">
        <f t="shared" si="183"/>
        <v>0</v>
      </c>
      <c r="BU56" s="55">
        <f t="shared" si="183"/>
        <v>0</v>
      </c>
      <c r="BV56" s="55">
        <f t="shared" si="183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4">CI35/CI33</f>
        <v>0.79429297371249874</v>
      </c>
      <c r="CJ56" s="55">
        <f t="shared" si="184"/>
        <v>0.80781887587205481</v>
      </c>
      <c r="CK56" s="55">
        <f t="shared" si="184"/>
        <v>0.81025231362855332</v>
      </c>
      <c r="CL56" s="55">
        <f t="shared" si="184"/>
        <v>0.82742931843231748</v>
      </c>
      <c r="CM56" s="55">
        <f t="shared" si="184"/>
        <v>0</v>
      </c>
      <c r="CN56" s="55">
        <f t="shared" si="184"/>
        <v>0.83602459293290998</v>
      </c>
      <c r="CO56" s="55">
        <f t="shared" si="184"/>
        <v>0.85000972879816916</v>
      </c>
      <c r="CP56" s="55">
        <f t="shared" si="184"/>
        <v>0.84627840400787258</v>
      </c>
      <c r="CQ56" s="55">
        <f t="shared" si="184"/>
        <v>0.84214295946139517</v>
      </c>
      <c r="CR56" s="55">
        <f t="shared" si="184"/>
        <v>0.84246765208215968</v>
      </c>
      <c r="CS56" s="55">
        <f t="shared" si="184"/>
        <v>0.8353725997983954</v>
      </c>
      <c r="CT56" s="55">
        <f t="shared" si="184"/>
        <v>0.83511099207537065</v>
      </c>
      <c r="CU56" s="55">
        <f t="shared" si="184"/>
        <v>0.83197443181818187</v>
      </c>
      <c r="CV56" s="55">
        <f t="shared" si="184"/>
        <v>0.83923505543813648</v>
      </c>
      <c r="CW56" s="55">
        <f t="shared" si="184"/>
        <v>0.72621231113982898</v>
      </c>
      <c r="CX56" s="55">
        <f t="shared" si="184"/>
        <v>0.84618931713981915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3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5">+AQ36/AQ33</f>
        <v>0.23954697363535091</v>
      </c>
      <c r="AR57" s="55">
        <f t="shared" si="185"/>
        <v>0.25869303462619037</v>
      </c>
      <c r="AS57" s="55">
        <f t="shared" si="185"/>
        <v>0.25675383617894965</v>
      </c>
      <c r="AT57" s="55">
        <f t="shared" si="185"/>
        <v>0.29355576483250367</v>
      </c>
      <c r="AU57" s="55">
        <f t="shared" ref="AU57:AW57" si="186">+AU36/AU33</f>
        <v>0.23713768734423543</v>
      </c>
      <c r="AV57" s="55">
        <f t="shared" si="186"/>
        <v>0.252363830070582</v>
      </c>
      <c r="AW57" s="55">
        <f t="shared" si="186"/>
        <v>0.25633319021039075</v>
      </c>
      <c r="AX57" s="55">
        <f t="shared" ref="AX57:BR57" si="187">+AX36/AX33</f>
        <v>0.29416664095999012</v>
      </c>
      <c r="AY57" s="55">
        <f t="shared" si="187"/>
        <v>0.22405904059040591</v>
      </c>
      <c r="AZ57" s="55">
        <f t="shared" si="187"/>
        <v>0.24655068986202761</v>
      </c>
      <c r="BA57" s="55">
        <f t="shared" si="187"/>
        <v>0.26429980276134124</v>
      </c>
      <c r="BB57" s="55">
        <f t="shared" si="187"/>
        <v>0.30387703030680191</v>
      </c>
      <c r="BC57" s="55">
        <f t="shared" si="187"/>
        <v>0.24423145189918352</v>
      </c>
      <c r="BD57" s="55">
        <f t="shared" si="187"/>
        <v>0.24215368784237765</v>
      </c>
      <c r="BE57" s="55">
        <f t="shared" si="187"/>
        <v>0.25599348717084947</v>
      </c>
      <c r="BF57" s="55">
        <f t="shared" si="187"/>
        <v>0.30344611692275586</v>
      </c>
      <c r="BG57" s="55">
        <f t="shared" si="187"/>
        <v>0.24227355999143491</v>
      </c>
      <c r="BH57" s="55">
        <f t="shared" si="187"/>
        <v>0.26269235429540772</v>
      </c>
      <c r="BI57" s="55">
        <f t="shared" si="187"/>
        <v>0.25130579818285564</v>
      </c>
      <c r="BJ57" s="55">
        <f t="shared" si="187"/>
        <v>0.28576478416368628</v>
      </c>
      <c r="BK57" s="55">
        <f t="shared" si="187"/>
        <v>0.23257818502070568</v>
      </c>
      <c r="BL57" s="55">
        <f t="shared" si="187"/>
        <v>0.26412523020257828</v>
      </c>
      <c r="BM57" s="55">
        <f t="shared" si="187"/>
        <v>0.21826633294171732</v>
      </c>
      <c r="BN57" s="55">
        <f t="shared" si="187"/>
        <v>0.18326747188788972</v>
      </c>
      <c r="BO57" s="55">
        <f t="shared" si="187"/>
        <v>0.2028493167454743</v>
      </c>
      <c r="BP57" s="55">
        <f t="shared" si="187"/>
        <v>0.21942403761387011</v>
      </c>
      <c r="BQ57" s="55">
        <f t="shared" si="187"/>
        <v>0.21329107711292788</v>
      </c>
      <c r="BR57" s="55">
        <f t="shared" si="187"/>
        <v>0.22571369842058969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88">+CV36/CV33</f>
        <v>0.26118087186500444</v>
      </c>
      <c r="CW57" s="49">
        <f t="shared" si="188"/>
        <v>0.24430705111921502</v>
      </c>
      <c r="CX57" s="49">
        <f t="shared" si="188"/>
        <v>0.21749172302699507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3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89">+AQ37/AQ33</f>
        <v>0.12331971778685481</v>
      </c>
      <c r="AR58" s="55">
        <f t="shared" si="189"/>
        <v>0.12026124712664647</v>
      </c>
      <c r="AS58" s="55">
        <f t="shared" si="189"/>
        <v>0.13125855485915999</v>
      </c>
      <c r="AT58" s="55">
        <f t="shared" si="189"/>
        <v>0.15283196555899367</v>
      </c>
      <c r="AU58" s="55">
        <f t="shared" ref="AU58:AW58" si="190">+AU37/AU33</f>
        <v>9.1427400908128773E-2</v>
      </c>
      <c r="AV58" s="55">
        <f t="shared" si="190"/>
        <v>0.11842455719802904</v>
      </c>
      <c r="AW58" s="55">
        <f t="shared" si="190"/>
        <v>0.11893516530699871</v>
      </c>
      <c r="AX58" s="55">
        <f t="shared" ref="AX58:BR58" si="191">+AX37/AX33</f>
        <v>0.13523768393127064</v>
      </c>
      <c r="AY58" s="55">
        <f t="shared" si="191"/>
        <v>0.11149815498154982</v>
      </c>
      <c r="AZ58" s="55">
        <f t="shared" si="191"/>
        <v>0.10967806438712258</v>
      </c>
      <c r="BA58" s="55">
        <f t="shared" si="191"/>
        <v>0.12645908106185533</v>
      </c>
      <c r="BB58" s="55">
        <f t="shared" si="191"/>
        <v>0.13949218993092288</v>
      </c>
      <c r="BC58" s="55">
        <f t="shared" si="191"/>
        <v>0.11667258312625725</v>
      </c>
      <c r="BD58" s="55">
        <f t="shared" si="191"/>
        <v>0.11936684725038589</v>
      </c>
      <c r="BE58" s="55">
        <f t="shared" si="191"/>
        <v>0.11936443770703498</v>
      </c>
      <c r="BF58" s="55">
        <f t="shared" si="191"/>
        <v>0.14692301672188454</v>
      </c>
      <c r="BG58" s="55">
        <f t="shared" si="191"/>
        <v>0.12386095976779044</v>
      </c>
      <c r="BH58" s="55">
        <f t="shared" si="191"/>
        <v>0.124148794377802</v>
      </c>
      <c r="BI58" s="55">
        <f t="shared" si="191"/>
        <v>0.12362287670631611</v>
      </c>
      <c r="BJ58" s="55">
        <f t="shared" si="191"/>
        <v>0.16811527904849038</v>
      </c>
      <c r="BK58" s="55">
        <f t="shared" si="191"/>
        <v>0.12607041804860683</v>
      </c>
      <c r="BL58" s="55">
        <f t="shared" si="191"/>
        <v>0.1312523020257827</v>
      </c>
      <c r="BM58" s="55">
        <f t="shared" si="191"/>
        <v>0.13839369327952869</v>
      </c>
      <c r="BN58" s="55">
        <f t="shared" si="191"/>
        <v>0.11164692812739234</v>
      </c>
      <c r="BO58" s="55">
        <f t="shared" si="191"/>
        <v>0.13169291037353287</v>
      </c>
      <c r="BP58" s="55">
        <f t="shared" si="191"/>
        <v>0.23752571260652366</v>
      </c>
      <c r="BQ58" s="55">
        <f t="shared" si="191"/>
        <v>0.13305100194920841</v>
      </c>
      <c r="BR58" s="55">
        <f t="shared" si="191"/>
        <v>0.13750525832727831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2">+CV37/CV33</f>
        <v>0.13589407416616747</v>
      </c>
      <c r="CW58" s="49">
        <f t="shared" si="192"/>
        <v>0.13968337344625228</v>
      </c>
      <c r="CX58" s="49">
        <f t="shared" si="192"/>
        <v>0.15980423195937285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3" customHeight="1">
      <c r="B59" s="36" t="s">
        <v>148</v>
      </c>
      <c r="C59" s="55">
        <f t="shared" ref="C59:N59" si="193">C46/C45</f>
        <v>0.42991631799163182</v>
      </c>
      <c r="D59" s="55">
        <f t="shared" si="193"/>
        <v>0.27451556077510275</v>
      </c>
      <c r="E59" s="55">
        <f t="shared" si="193"/>
        <v>0.25752508361204013</v>
      </c>
      <c r="F59" s="55">
        <f t="shared" si="193"/>
        <v>0.24104234527687296</v>
      </c>
      <c r="G59" s="55">
        <f t="shared" si="193"/>
        <v>0.22995720399429387</v>
      </c>
      <c r="H59" s="55">
        <f t="shared" si="193"/>
        <v>0.22991761071060762</v>
      </c>
      <c r="I59" s="55">
        <f t="shared" si="193"/>
        <v>0.23620737454948712</v>
      </c>
      <c r="J59" s="55">
        <f t="shared" si="193"/>
        <v>0.22359625668449198</v>
      </c>
      <c r="K59" s="55">
        <f t="shared" si="193"/>
        <v>0.23002084781097984</v>
      </c>
      <c r="L59" s="55">
        <f t="shared" si="193"/>
        <v>0.23003472222222221</v>
      </c>
      <c r="M59" s="55">
        <f t="shared" si="193"/>
        <v>0.23002577319587628</v>
      </c>
      <c r="N59" s="55">
        <f t="shared" si="193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4">+AQ46/AQ45</f>
        <v>0.21000808288632522</v>
      </c>
      <c r="AR59" s="55">
        <f t="shared" si="194"/>
        <v>0.17242758841414627</v>
      </c>
      <c r="AS59" s="55">
        <f t="shared" si="194"/>
        <v>0.18863350691326988</v>
      </c>
      <c r="AT59" s="55">
        <f t="shared" si="194"/>
        <v>0.18061716489874638</v>
      </c>
      <c r="AU59" s="55">
        <f t="shared" ref="AU59:AW59" si="195">+AU46/AU45</f>
        <v>0.21002873997882318</v>
      </c>
      <c r="AV59" s="55">
        <f t="shared" si="195"/>
        <v>0.20996294771510909</v>
      </c>
      <c r="AW59" s="55">
        <f t="shared" si="195"/>
        <v>0.15800776410341125</v>
      </c>
      <c r="AX59" s="55">
        <f t="shared" ref="AX59:BR59" si="196">+AX46/AX45</f>
        <v>0.21319613683545446</v>
      </c>
      <c r="AY59" s="55">
        <f t="shared" si="196"/>
        <v>0.20797550096531522</v>
      </c>
      <c r="AZ59" s="55">
        <f t="shared" si="196"/>
        <v>0.20803518187239117</v>
      </c>
      <c r="BA59" s="55">
        <f t="shared" si="196"/>
        <v>0.18855882121188244</v>
      </c>
      <c r="BB59" s="55">
        <f t="shared" si="196"/>
        <v>0.22362939510081653</v>
      </c>
      <c r="BC59" s="55">
        <f t="shared" si="196"/>
        <v>0.20799347471451876</v>
      </c>
      <c r="BD59" s="55">
        <f t="shared" si="196"/>
        <v>0.18730307702621171</v>
      </c>
      <c r="BE59" s="55">
        <f t="shared" si="196"/>
        <v>0.19805452620434091</v>
      </c>
      <c r="BF59" s="55">
        <f t="shared" si="196"/>
        <v>0.16937390375962785</v>
      </c>
      <c r="BG59" s="55">
        <f t="shared" si="196"/>
        <v>0.20698699704224566</v>
      </c>
      <c r="BH59" s="55">
        <f t="shared" si="196"/>
        <v>0.20702590056564454</v>
      </c>
      <c r="BI59" s="55">
        <f t="shared" si="196"/>
        <v>0.20114241348713399</v>
      </c>
      <c r="BJ59" s="55">
        <f t="shared" si="196"/>
        <v>0.16695268448149056</v>
      </c>
      <c r="BK59" s="55">
        <f t="shared" si="196"/>
        <v>0.19901362331729797</v>
      </c>
      <c r="BL59" s="55">
        <f t="shared" si="196"/>
        <v>0.19897748824936093</v>
      </c>
      <c r="BM59" s="55">
        <f t="shared" si="196"/>
        <v>0.19901649859245268</v>
      </c>
      <c r="BN59" s="55">
        <f t="shared" si="196"/>
        <v>0.20481535119478639</v>
      </c>
      <c r="BO59" s="55">
        <f t="shared" si="196"/>
        <v>0.20399147816279214</v>
      </c>
      <c r="BP59" s="55">
        <f t="shared" si="196"/>
        <v>0.20851097426180326</v>
      </c>
      <c r="BQ59" s="55">
        <f t="shared" si="196"/>
        <v>0.20599697533736622</v>
      </c>
      <c r="BR59" s="55">
        <f t="shared" si="196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197">+CS46/CS45</f>
        <v>0.19776326900500485</v>
      </c>
      <c r="CT59" s="49">
        <f t="shared" si="197"/>
        <v>0.20688876341050255</v>
      </c>
      <c r="CU59" s="49">
        <f t="shared" si="197"/>
        <v>0.19165538253215977</v>
      </c>
      <c r="CV59" s="49">
        <f t="shared" si="197"/>
        <v>0.19601227882192812</v>
      </c>
      <c r="CW59" s="49">
        <f>+CW46/CW45</f>
        <v>0.27314675904106128</v>
      </c>
      <c r="CX59" s="49">
        <f>+CX46/CX45</f>
        <v>0.20544543872487828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3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3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3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3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3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198">+AQ68-AQ77</f>
        <v>13791</v>
      </c>
      <c r="AR67" s="61">
        <f t="shared" si="198"/>
        <v>18787</v>
      </c>
      <c r="AS67" s="61">
        <f t="shared" si="198"/>
        <v>16158</v>
      </c>
      <c r="AT67" s="61">
        <f t="shared" si="198"/>
        <v>15076</v>
      </c>
      <c r="AU67" s="61">
        <f t="shared" si="198"/>
        <v>4405</v>
      </c>
      <c r="AV67" s="61">
        <f t="shared" si="198"/>
        <v>11306</v>
      </c>
      <c r="AW67" s="61">
        <f t="shared" si="198"/>
        <v>15270</v>
      </c>
      <c r="AX67" s="61">
        <f t="shared" si="198"/>
        <v>12254</v>
      </c>
      <c r="AY67" s="61">
        <f t="shared" si="198"/>
        <v>6964</v>
      </c>
      <c r="AZ67" s="61">
        <f t="shared" ref="AZ67" si="199">+AZ68-AZ77</f>
        <v>22884</v>
      </c>
      <c r="BA67" s="61">
        <f t="shared" ref="BA67" si="200">+BA68-BA77</f>
        <v>23695</v>
      </c>
      <c r="BB67" s="61">
        <f t="shared" ref="BB67" si="201">+BB68-BB77</f>
        <v>5016</v>
      </c>
      <c r="BC67" s="61">
        <f t="shared" ref="BC67:BF67" si="202">+BC68-BC77</f>
        <v>-322</v>
      </c>
      <c r="BD67" s="61">
        <f t="shared" si="202"/>
        <v>15382</v>
      </c>
      <c r="BE67" s="61">
        <f t="shared" si="202"/>
        <v>23282</v>
      </c>
      <c r="BF67" s="61">
        <f t="shared" si="202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3">+BJ68-BJ77</f>
        <v>-1043</v>
      </c>
      <c r="BK67" s="61">
        <f t="shared" si="203"/>
        <v>3818</v>
      </c>
      <c r="BL67" s="61">
        <f t="shared" si="203"/>
        <v>13246</v>
      </c>
      <c r="BM67" s="61">
        <f t="shared" si="203"/>
        <v>23113</v>
      </c>
      <c r="BN67" s="61">
        <f t="shared" si="203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49851.343999999997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49851.343999999997</v>
      </c>
      <c r="CY67" s="17">
        <f>+CX67+CY47</f>
        <v>202326.41419199994</v>
      </c>
      <c r="CZ67" s="17">
        <f t="shared" ref="CZ67:DI67" si="204">+CY67+CZ47</f>
        <v>446425.62917353597</v>
      </c>
      <c r="DA67" s="17">
        <f t="shared" si="204"/>
        <v>756431.99419152422</v>
      </c>
      <c r="DB67" s="17">
        <f t="shared" si="204"/>
        <v>1125041.6279444264</v>
      </c>
      <c r="DC67" s="17">
        <f t="shared" si="204"/>
        <v>1557628.1625699583</v>
      </c>
      <c r="DD67" s="17">
        <f t="shared" si="204"/>
        <v>2047231.0914584282</v>
      </c>
      <c r="DE67" s="17">
        <f t="shared" si="204"/>
        <v>2426307.6805651239</v>
      </c>
      <c r="DF67" s="17">
        <f t="shared" si="204"/>
        <v>2730526.0487198257</v>
      </c>
      <c r="DG67" s="17">
        <f t="shared" si="204"/>
        <v>2989798.7283738637</v>
      </c>
      <c r="DH67" s="17">
        <f t="shared" si="204"/>
        <v>3221342.7146181455</v>
      </c>
      <c r="DI67" s="17">
        <f t="shared" si="204"/>
        <v>3431476.265227675</v>
      </c>
    </row>
    <row r="68" spans="1:145" s="17" customFormat="1" ht="13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3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3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3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3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3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3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3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5">SUM(AQ68:AQ74)</f>
        <v>93558</v>
      </c>
      <c r="AR75" s="61">
        <f t="shared" si="205"/>
        <v>103248</v>
      </c>
      <c r="AS75" s="61">
        <f t="shared" si="205"/>
        <v>101895</v>
      </c>
      <c r="AT75" s="61">
        <f t="shared" si="205"/>
        <v>110769</v>
      </c>
      <c r="AU75" s="61">
        <f t="shared" ref="AU75:AX75" si="206">SUM(AU68:AU74)</f>
        <v>110135</v>
      </c>
      <c r="AV75" s="61">
        <f t="shared" si="206"/>
        <v>117909</v>
      </c>
      <c r="AW75" s="61">
        <f t="shared" si="206"/>
        <v>124908</v>
      </c>
      <c r="AX75" s="61">
        <f t="shared" si="206"/>
        <v>125612</v>
      </c>
      <c r="AY75" s="61">
        <f t="shared" ref="AY75" si="207">SUM(AY68:AY74)</f>
        <v>126256</v>
      </c>
      <c r="AZ75" s="61">
        <f t="shared" ref="AZ75" si="208">SUM(AZ68:AZ74)</f>
        <v>136121</v>
      </c>
      <c r="BA75" s="61">
        <f t="shared" ref="BA75" si="209">SUM(BA68:BA74)</f>
        <v>139947</v>
      </c>
      <c r="BB75" s="61">
        <f t="shared" ref="BB75" si="210">SUM(BB68:BB74)</f>
        <v>144922</v>
      </c>
      <c r="BC75" s="61">
        <f t="shared" ref="BC75:BF75" si="211">SUM(BC68:BC74)</f>
        <v>141387</v>
      </c>
      <c r="BD75" s="61">
        <f t="shared" si="211"/>
        <v>158095</v>
      </c>
      <c r="BE75" s="61">
        <f t="shared" si="211"/>
        <v>174084</v>
      </c>
      <c r="BF75" s="61">
        <f t="shared" si="211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2">SUM(BJ68:BJ74)</f>
        <v>241257</v>
      </c>
      <c r="BK75" s="61">
        <f t="shared" si="212"/>
        <v>250025</v>
      </c>
      <c r="BL75" s="61">
        <f t="shared" si="212"/>
        <v>280753</v>
      </c>
      <c r="BM75" s="61">
        <f t="shared" si="212"/>
        <v>300101</v>
      </c>
      <c r="BN75" s="61">
        <f t="shared" si="212"/>
        <v>314486</v>
      </c>
      <c r="BO75" s="61">
        <f t="shared" si="212"/>
        <v>298921</v>
      </c>
      <c r="BP75" s="61">
        <f t="shared" si="212"/>
        <v>369383</v>
      </c>
      <c r="BQ75" s="61">
        <f t="shared" si="212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3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3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3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3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3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3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3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3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3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3">SUM(AQ77:AQ83)</f>
        <v>93558</v>
      </c>
      <c r="AR84" s="61">
        <f t="shared" si="213"/>
        <v>103248</v>
      </c>
      <c r="AS84" s="61">
        <f t="shared" si="213"/>
        <v>101895</v>
      </c>
      <c r="AT84" s="61">
        <f t="shared" si="213"/>
        <v>110769</v>
      </c>
      <c r="AU84" s="61">
        <f t="shared" ref="AU84:AX84" si="214">SUM(AU77:AU83)</f>
        <v>110135</v>
      </c>
      <c r="AV84" s="61">
        <f t="shared" si="214"/>
        <v>117909</v>
      </c>
      <c r="AW84" s="61">
        <f t="shared" si="214"/>
        <v>124908</v>
      </c>
      <c r="AX84" s="61">
        <f t="shared" si="214"/>
        <v>125612</v>
      </c>
      <c r="AY84" s="61">
        <f t="shared" ref="AY84:BB84" si="215">SUM(AY77:AY83)</f>
        <v>126256</v>
      </c>
      <c r="AZ84" s="61">
        <f t="shared" si="215"/>
        <v>136121</v>
      </c>
      <c r="BA84" s="61">
        <f t="shared" si="215"/>
        <v>139947</v>
      </c>
      <c r="BB84" s="61">
        <f t="shared" si="215"/>
        <v>144922</v>
      </c>
      <c r="BC84" s="61">
        <f t="shared" ref="BC84:BQ84" si="216">SUM(BC77:BC83)</f>
        <v>154109</v>
      </c>
      <c r="BD84" s="61">
        <f t="shared" si="216"/>
        <v>158095</v>
      </c>
      <c r="BE84" s="61">
        <f t="shared" si="216"/>
        <v>174084</v>
      </c>
      <c r="BF84" s="61">
        <f t="shared" si="216"/>
        <v>194508</v>
      </c>
      <c r="BG84" s="61">
        <f t="shared" si="216"/>
        <v>197136</v>
      </c>
      <c r="BH84" s="61">
        <f t="shared" si="216"/>
        <v>218928</v>
      </c>
      <c r="BI84" s="61">
        <f t="shared" si="216"/>
        <v>242836</v>
      </c>
      <c r="BJ84" s="61">
        <f t="shared" si="216"/>
        <v>241257</v>
      </c>
      <c r="BK84" s="61">
        <f t="shared" si="216"/>
        <v>250025</v>
      </c>
      <c r="BL84" s="61">
        <f t="shared" si="216"/>
        <v>280753</v>
      </c>
      <c r="BM84" s="61">
        <f t="shared" si="216"/>
        <v>300101</v>
      </c>
      <c r="BN84" s="61">
        <f t="shared" si="216"/>
        <v>314486</v>
      </c>
      <c r="BO84" s="61">
        <f t="shared" si="216"/>
        <v>298921</v>
      </c>
      <c r="BP84" s="61">
        <f t="shared" si="216"/>
        <v>369383</v>
      </c>
      <c r="BQ84" s="61">
        <f t="shared" si="216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3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3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17">+AQ47</f>
        <v>10751</v>
      </c>
      <c r="AR86" s="61">
        <f t="shared" si="217"/>
        <v>10343</v>
      </c>
      <c r="AS86" s="61">
        <f t="shared" si="217"/>
        <v>9037</v>
      </c>
      <c r="AT86" s="61">
        <f t="shared" si="217"/>
        <v>8497</v>
      </c>
      <c r="AU86" s="61">
        <f t="shared" ref="AU86:BJ86" si="218">+AU47</f>
        <v>10445</v>
      </c>
      <c r="AV86" s="61">
        <f t="shared" si="218"/>
        <v>9595</v>
      </c>
      <c r="AW86" s="61">
        <f t="shared" si="218"/>
        <v>10194</v>
      </c>
      <c r="AX86" s="61">
        <f t="shared" si="218"/>
        <v>8717</v>
      </c>
      <c r="AY86" s="61">
        <f t="shared" si="218"/>
        <v>11897</v>
      </c>
      <c r="AZ86" s="61">
        <f t="shared" si="218"/>
        <v>10625</v>
      </c>
      <c r="BA86" s="61">
        <f t="shared" si="218"/>
        <v>10298</v>
      </c>
      <c r="BB86" s="61">
        <f t="shared" si="218"/>
        <v>9318</v>
      </c>
      <c r="BC86" s="61">
        <f t="shared" si="218"/>
        <v>12623</v>
      </c>
      <c r="BD86" s="61">
        <f t="shared" si="218"/>
        <v>12123</v>
      </c>
      <c r="BE86" s="61">
        <f t="shared" si="218"/>
        <v>12119</v>
      </c>
      <c r="BF86" s="61">
        <f t="shared" si="218"/>
        <v>10892</v>
      </c>
      <c r="BG86" s="61">
        <f t="shared" si="218"/>
        <v>14210</v>
      </c>
      <c r="BH86" s="61">
        <f t="shared" si="218"/>
        <v>13318</v>
      </c>
      <c r="BI86" s="61">
        <f t="shared" si="218"/>
        <v>14405</v>
      </c>
      <c r="BJ86" s="61">
        <f t="shared" si="218"/>
        <v>13592</v>
      </c>
      <c r="BK86" s="61">
        <f t="shared" ref="BK86:BQ86" si="219">+BK47</f>
        <v>19814</v>
      </c>
      <c r="BL86" s="61">
        <f t="shared" si="219"/>
        <v>19428</v>
      </c>
      <c r="BM86" s="61">
        <f t="shared" si="219"/>
        <v>22478</v>
      </c>
      <c r="BN86" s="61">
        <f t="shared" si="219"/>
        <v>21963</v>
      </c>
      <c r="BO86" s="61">
        <f t="shared" si="219"/>
        <v>25407</v>
      </c>
      <c r="BP86" s="61">
        <f t="shared" si="219"/>
        <v>20050</v>
      </c>
      <c r="BQ86" s="61">
        <f t="shared" si="219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3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3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3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3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3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3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3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3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3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0">SUM(AU87:AU94)</f>
        <v>9890</v>
      </c>
      <c r="AV95" s="61">
        <f t="shared" si="220"/>
        <v>15039</v>
      </c>
      <c r="AW95" s="61">
        <f t="shared" si="220"/>
        <v>16688</v>
      </c>
      <c r="AX95" s="61">
        <f t="shared" si="220"/>
        <v>5165</v>
      </c>
      <c r="AY95" s="61">
        <f t="shared" ref="AY95:BB95" si="221">SUM(AY87:AY94)</f>
        <v>10012</v>
      </c>
      <c r="AZ95" s="61">
        <f t="shared" si="221"/>
        <v>24261</v>
      </c>
      <c r="BA95" s="61">
        <f t="shared" si="221"/>
        <v>17506</v>
      </c>
      <c r="BB95" s="61">
        <f t="shared" si="221"/>
        <v>172</v>
      </c>
      <c r="BC95" s="61">
        <f t="shared" ref="BC95:BQ95" si="222">SUM(BC87:BC94)</f>
        <v>11255</v>
      </c>
      <c r="BD95" s="61">
        <f t="shared" si="222"/>
        <v>25255</v>
      </c>
      <c r="BE95" s="61">
        <f t="shared" si="222"/>
        <v>21507</v>
      </c>
      <c r="BF95" s="61">
        <f t="shared" si="222"/>
        <v>-3017</v>
      </c>
      <c r="BG95" s="61">
        <f t="shared" si="222"/>
        <v>23586</v>
      </c>
      <c r="BH95" s="61">
        <f t="shared" si="222"/>
        <v>23961</v>
      </c>
      <c r="BI95" s="61">
        <f t="shared" si="222"/>
        <v>24239</v>
      </c>
      <c r="BJ95" s="61">
        <f t="shared" si="222"/>
        <v>7101</v>
      </c>
      <c r="BK95" s="61">
        <f t="shared" si="222"/>
        <v>29814</v>
      </c>
      <c r="BL95" s="61">
        <f t="shared" si="222"/>
        <v>28577</v>
      </c>
      <c r="BM95" s="61">
        <f t="shared" si="222"/>
        <v>40966</v>
      </c>
      <c r="BN95" s="61">
        <f t="shared" si="222"/>
        <v>9551</v>
      </c>
      <c r="BO95" s="61">
        <f t="shared" si="222"/>
        <v>14314</v>
      </c>
      <c r="BP95" s="61">
        <f t="shared" si="222"/>
        <v>42238</v>
      </c>
      <c r="BQ95" s="61">
        <f t="shared" si="222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3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3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3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3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3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3">SUM(AQ97:AQ100)</f>
        <v>-2574</v>
      </c>
      <c r="AR101" s="61">
        <f t="shared" si="223"/>
        <v>-2543</v>
      </c>
      <c r="AS101" s="61">
        <f t="shared" si="223"/>
        <v>-2864</v>
      </c>
      <c r="AT101" s="61">
        <f t="shared" si="223"/>
        <v>-4099</v>
      </c>
      <c r="AU101" s="61">
        <f t="shared" ref="AU101:AX101" si="224">SUM(AU97:AU100)</f>
        <v>-3026</v>
      </c>
      <c r="AV101" s="61">
        <f t="shared" si="224"/>
        <v>-2833</v>
      </c>
      <c r="AW101" s="61">
        <f t="shared" si="224"/>
        <v>-2441</v>
      </c>
      <c r="AX101" s="61">
        <f t="shared" si="224"/>
        <v>-3209</v>
      </c>
      <c r="AY101" s="61">
        <f t="shared" ref="AY101:BB101" si="225">SUM(AY97:AY100)</f>
        <v>-2106</v>
      </c>
      <c r="AZ101" s="61">
        <f t="shared" si="225"/>
        <v>-1367</v>
      </c>
      <c r="BA101" s="61">
        <f t="shared" si="225"/>
        <v>-6063</v>
      </c>
      <c r="BB101" s="61">
        <f t="shared" si="225"/>
        <v>-12900</v>
      </c>
      <c r="BC101" s="61">
        <f t="shared" ref="BC101" si="226">SUM(BC97:BC100)</f>
        <v>-3481</v>
      </c>
      <c r="BD101" s="61">
        <f t="shared" ref="BD101" si="227">SUM(BD97:BD100)</f>
        <v>-2886</v>
      </c>
      <c r="BE101" s="61">
        <f t="shared" ref="BE101" si="228">SUM(BE97:BE100)</f>
        <v>-4635</v>
      </c>
      <c r="BF101" s="61">
        <f t="shared" ref="BF101" si="229">SUM(BF97:BF100)</f>
        <v>-20603</v>
      </c>
      <c r="BG101" s="61">
        <f t="shared" ref="BG101:BJ101" si="230">SUM(BG97:BG100)</f>
        <v>-1907</v>
      </c>
      <c r="BH101" s="61">
        <f t="shared" si="230"/>
        <v>-4200</v>
      </c>
      <c r="BI101" s="61">
        <f t="shared" si="230"/>
        <v>-4961</v>
      </c>
      <c r="BJ101" s="61">
        <f t="shared" si="230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1">SUM(BP97:BP100)</f>
        <v>-20731</v>
      </c>
      <c r="BQ101" s="61">
        <f t="shared" si="231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3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3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3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3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3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3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2">SUM(AQ103:AQ106)</f>
        <v>-14137</v>
      </c>
      <c r="AR107" s="61">
        <f t="shared" si="232"/>
        <v>-5423</v>
      </c>
      <c r="AS107" s="61">
        <f t="shared" si="232"/>
        <v>-10809</v>
      </c>
      <c r="AT107" s="61">
        <f t="shared" si="232"/>
        <v>-4152</v>
      </c>
      <c r="AU107" s="61">
        <f t="shared" ref="AU107:AX107" si="233">SUM(AU103:AU106)</f>
        <v>-13525</v>
      </c>
      <c r="AV107" s="61">
        <f t="shared" si="233"/>
        <v>-6746</v>
      </c>
      <c r="AW107" s="61">
        <f t="shared" si="233"/>
        <v>-10012</v>
      </c>
      <c r="AX107" s="61">
        <f t="shared" si="233"/>
        <v>-5201</v>
      </c>
      <c r="AY107" s="61">
        <f t="shared" ref="AY107:BB107" si="234">SUM(AY103:AY106)</f>
        <v>-13509</v>
      </c>
      <c r="AZ107" s="61">
        <f t="shared" si="234"/>
        <v>-7681</v>
      </c>
      <c r="BA107" s="61">
        <f t="shared" si="234"/>
        <v>-10694</v>
      </c>
      <c r="BB107" s="61">
        <f t="shared" si="234"/>
        <v>-360</v>
      </c>
      <c r="BC107" s="61">
        <f t="shared" ref="BC107:BF107" si="235">SUM(BC103:BC106)</f>
        <v>-14475</v>
      </c>
      <c r="BD107" s="61">
        <f t="shared" si="235"/>
        <v>-3836</v>
      </c>
      <c r="BE107" s="61">
        <f t="shared" si="235"/>
        <v>-11731</v>
      </c>
      <c r="BF107" s="61">
        <f t="shared" si="235"/>
        <v>4549</v>
      </c>
      <c r="BG107" s="61">
        <f t="shared" ref="BG107:BQ107" si="236">SUM(BG103:BG106)</f>
        <v>-19135</v>
      </c>
      <c r="BH107" s="61">
        <f t="shared" si="236"/>
        <v>-10431</v>
      </c>
      <c r="BI107" s="61">
        <f t="shared" si="236"/>
        <v>-14563</v>
      </c>
      <c r="BJ107" s="61">
        <f t="shared" si="236"/>
        <v>-7668</v>
      </c>
      <c r="BK107" s="61">
        <f t="shared" si="236"/>
        <v>-20621</v>
      </c>
      <c r="BL107" s="61">
        <f t="shared" si="236"/>
        <v>-12589</v>
      </c>
      <c r="BM107" s="61">
        <f t="shared" si="236"/>
        <v>-19832</v>
      </c>
      <c r="BN107" s="61">
        <f t="shared" si="236"/>
        <v>-10116</v>
      </c>
      <c r="BO107" s="61">
        <f t="shared" si="236"/>
        <v>-26382</v>
      </c>
      <c r="BP107" s="61">
        <f t="shared" si="236"/>
        <v>16683</v>
      </c>
      <c r="BQ107" s="61">
        <f t="shared" si="236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3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3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3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37">+AQ109+AQ107+AQ101+AQ95</f>
        <v>-6873</v>
      </c>
      <c r="AR110" s="61">
        <f t="shared" si="237"/>
        <v>7862</v>
      </c>
      <c r="AS110" s="61">
        <f t="shared" si="237"/>
        <v>-2083</v>
      </c>
      <c r="AT110" s="61">
        <f t="shared" si="237"/>
        <v>-797</v>
      </c>
      <c r="AU110" s="61">
        <f t="shared" ref="AU110:AX110" si="238">+AU109+AU107+AU101+AU95</f>
        <v>-6583</v>
      </c>
      <c r="AV110" s="61">
        <f t="shared" si="238"/>
        <v>5400</v>
      </c>
      <c r="AW110" s="61">
        <f t="shared" si="238"/>
        <v>4310</v>
      </c>
      <c r="AX110" s="61">
        <f t="shared" si="238"/>
        <v>-3345</v>
      </c>
      <c r="AY110" s="61">
        <f t="shared" ref="AY110:BB110" si="239">+AY109+AY107+AY101+AY95</f>
        <v>-5698</v>
      </c>
      <c r="AZ110" s="61">
        <f t="shared" si="239"/>
        <v>15138</v>
      </c>
      <c r="BA110" s="61">
        <f t="shared" si="239"/>
        <v>614</v>
      </c>
      <c r="BB110" s="61">
        <f t="shared" si="239"/>
        <v>-13239</v>
      </c>
      <c r="BC110" s="61">
        <f t="shared" ref="BC110:BF110" si="240">+BC109+BC107+BC101+BC95</f>
        <v>-6547</v>
      </c>
      <c r="BD110" s="61">
        <f t="shared" si="240"/>
        <v>18548</v>
      </c>
      <c r="BE110" s="61">
        <f t="shared" si="240"/>
        <v>5263</v>
      </c>
      <c r="BF110" s="61">
        <f t="shared" si="240"/>
        <v>-18771</v>
      </c>
      <c r="BG110" s="61">
        <f t="shared" ref="BG110:BQ110" si="241">+BG109+BG107+BG101+BG95</f>
        <v>2489</v>
      </c>
      <c r="BH110" s="61">
        <f t="shared" si="241"/>
        <v>9548</v>
      </c>
      <c r="BI110" s="61">
        <f t="shared" si="241"/>
        <v>5158</v>
      </c>
      <c r="BJ110" s="61">
        <f t="shared" si="241"/>
        <v>-15261</v>
      </c>
      <c r="BK110" s="61">
        <f t="shared" si="241"/>
        <v>2283</v>
      </c>
      <c r="BL110" s="61">
        <f t="shared" si="241"/>
        <v>6638</v>
      </c>
      <c r="BM110" s="61">
        <f t="shared" si="241"/>
        <v>8309</v>
      </c>
      <c r="BN110" s="61">
        <f t="shared" si="241"/>
        <v>-15491</v>
      </c>
      <c r="BO110" s="61">
        <f t="shared" si="241"/>
        <v>-8068</v>
      </c>
      <c r="BP110" s="61">
        <f t="shared" si="241"/>
        <v>38232</v>
      </c>
      <c r="BQ110" s="61">
        <f t="shared" si="241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3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 ht="13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 ht="13">
      <c r="C33" s="63" t="s">
        <v>256</v>
      </c>
    </row>
    <row r="36" spans="3:8" ht="13">
      <c r="C36" s="63" t="s">
        <v>283</v>
      </c>
    </row>
    <row r="37" spans="3:8" ht="13">
      <c r="C37" s="60" t="s">
        <v>282</v>
      </c>
      <c r="H37" s="63"/>
    </row>
    <row r="39" spans="3:8" ht="13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 ht="1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 ht="1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 ht="13">
      <c r="C74" s="63" t="s">
        <v>496</v>
      </c>
    </row>
    <row r="75" spans="3:3">
      <c r="C75" s="60" t="s">
        <v>497</v>
      </c>
    </row>
    <row r="77" spans="3:3" ht="1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 ht="13">
      <c r="C82" s="63" t="s">
        <v>502</v>
      </c>
    </row>
    <row r="87" spans="3:3" ht="1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/>
  </sheetViews>
  <sheetFormatPr defaultRowHeight="12.5"/>
  <cols>
    <col min="1" max="1" width="4.7265625" bestFit="1" customWidth="1"/>
    <col min="2" max="2" width="10.54296875" bestFit="1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564</v>
      </c>
    </row>
    <row r="10" spans="1:5" ht="13">
      <c r="C10" s="81"/>
      <c r="D10" s="60"/>
      <c r="E10" s="60" t="s">
        <v>565</v>
      </c>
    </row>
    <row r="11" spans="1:5" ht="13">
      <c r="C11" s="81"/>
      <c r="D11" s="60" t="s">
        <v>568</v>
      </c>
      <c r="E11" s="60"/>
    </row>
    <row r="12" spans="1:5" ht="13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 ht="1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 ht="13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 ht="13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 ht="1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 ht="13">
      <c r="C14" s="63" t="s">
        <v>323</v>
      </c>
    </row>
    <row r="15" spans="1:3">
      <c r="C15" s="60"/>
    </row>
    <row r="16" spans="1:3">
      <c r="C16" s="60"/>
    </row>
    <row r="17" spans="3:3" ht="1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 ht="13">
      <c r="C21" s="63" t="s">
        <v>405</v>
      </c>
    </row>
    <row r="22" spans="3:3">
      <c r="C22" s="60" t="s">
        <v>406</v>
      </c>
    </row>
    <row r="25" spans="3:3" ht="1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 ht="1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2025-01-14T20:56:00Z</dcterms:modified>
  <cp:category/>
  <cp:contentStatus/>
</cp:coreProperties>
</file>